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r:id="rId4"/>
    <sheet name="číselníky" sheetId="5" state="hidden" r:id="rId5"/>
    <sheet name="Postup při vyplňování soupisky " sheetId="6" r:id="rId6"/>
  </sheets>
  <externalReferences>
    <externalReference r:id="rId9"/>
  </externalReferences>
  <definedNames>
    <definedName name="_xlnm._FilterDatabase" localSheetId="0" hidden="1">'Soupiska'!$I$11:$J$12</definedName>
    <definedName name="INV" localSheetId="3">'[1]číselníky'!$B$1:$B$42</definedName>
    <definedName name="INV">'číselníky'!$B$1:$B$42</definedName>
    <definedName name="_xlnm.Print_Titles" localSheetId="1">'Přehled smluv a faktur'!$9:$10</definedName>
    <definedName name="NEINV" localSheetId="3">'[1]číselníky'!$A$1:$A$51</definedName>
    <definedName name="NEINV">'číselníky'!$A$1:$A$51</definedName>
    <definedName name="_xlnm.Print_Area" localSheetId="1">'Přehled smluv a faktur'!$A$1:$V$128</definedName>
    <definedName name="_xlnm.Print_Area" localSheetId="3">'Závěrečné vyhodnocení'!$A$1:$H$51</definedName>
    <definedName name="způsobilost" localSheetId="3">'[1]číselníky'!$C$1:$C$2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0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0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0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0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0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0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Sustal P</author>
  </authors>
  <commentList>
    <comment ref="F9" authorId="0">
      <text>
        <r>
          <rPr>
            <sz val="8"/>
            <rFont val="Tahoma"/>
            <family val="0"/>
          </rPr>
          <t xml:space="preserve">Datum uznatelného zdanitelného plnění
</t>
        </r>
      </text>
    </comment>
    <comment ref="L9" authorId="1">
      <text>
        <r>
          <rPr>
            <sz val="8"/>
            <rFont val="Tahoma"/>
            <family val="2"/>
          </rPr>
          <t>Cena celkem musí být zaokrouhlena na celé Kč dolů</t>
        </r>
        <r>
          <rPr>
            <sz val="8"/>
            <rFont val="Tahoma"/>
            <family val="0"/>
          </rPr>
          <t xml:space="preserve">
</t>
        </r>
      </text>
    </comment>
    <comment ref="N9" authorId="1">
      <text>
        <r>
          <rPr>
            <sz val="8"/>
            <rFont val="Tahoma"/>
            <family val="0"/>
          </rPr>
          <t xml:space="preserve">Nezadávat u nezpůsobilých výdajů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2" authorId="0">
      <text>
        <r>
          <rPr>
            <sz val="8"/>
            <rFont val="Tahoma"/>
            <family val="0"/>
          </rPr>
          <t xml:space="preserve">např. kolaudační souhlas, předávací protokol, 
</t>
        </r>
      </text>
    </comment>
  </commentList>
</comments>
</file>

<file path=xl/sharedStrings.xml><?xml version="1.0" encoding="utf-8"?>
<sst xmlns="http://schemas.openxmlformats.org/spreadsheetml/2006/main" count="465" uniqueCount="305">
  <si>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</si>
  <si>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</si>
  <si>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</si>
  <si>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</si>
  <si>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</si>
  <si>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</si>
  <si>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</si>
  <si>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</si>
  <si>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</si>
  <si>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</si>
  <si>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</si>
  <si>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</si>
  <si>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</si>
  <si>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</si>
  <si>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</si>
  <si>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</si>
  <si>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</si>
  <si>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</si>
  <si>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</si>
  <si>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</si>
  <si>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</si>
  <si>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</si>
  <si>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</si>
  <si>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</si>
  <si>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</si>
  <si>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</si>
  <si>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</si>
  <si>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</si>
  <si>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</si>
  <si>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</si>
  <si>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</si>
  <si>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</si>
  <si>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</si>
  <si>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</si>
  <si>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</si>
  <si>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</si>
  <si>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</si>
  <si>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</si>
  <si>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</si>
  <si>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</si>
  <si>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</si>
  <si>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</si>
  <si>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</si>
  <si>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</si>
  <si>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</si>
  <si>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</si>
  <si>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</si>
  <si>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</si>
  <si>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</si>
  <si>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</si>
  <si>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</si>
  <si>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</si>
  <si>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</si>
  <si>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</si>
  <si>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</si>
  <si>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</si>
  <si>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</si>
  <si>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</si>
  <si>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</si>
  <si>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</si>
  <si>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</si>
  <si>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</si>
  <si>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</si>
  <si>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</si>
  <si>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</si>
  <si>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</si>
  <si>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</si>
  <si>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</si>
  <si>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</si>
  <si>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</si>
  <si>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</si>
  <si>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</si>
  <si>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</si>
  <si>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</si>
  <si>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</si>
  <si>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</si>
  <si>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</si>
  <si>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</si>
  <si>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</si>
  <si>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</si>
  <si>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</si>
  <si>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</si>
  <si>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</si>
  <si>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</si>
  <si>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</si>
  <si>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</si>
  <si>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</si>
  <si>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</si>
  <si>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</si>
  <si>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</si>
  <si>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ZDROJ FINANCOVÁNÍ</t>
  </si>
  <si>
    <t>číslo dokladu (faktury)</t>
  </si>
  <si>
    <t>dodavatel</t>
  </si>
  <si>
    <t>IČ</t>
  </si>
  <si>
    <t>NEINV</t>
  </si>
  <si>
    <t>INV</t>
  </si>
  <si>
    <t>Jiné zdroje</t>
  </si>
  <si>
    <t>Korekce o DPH</t>
  </si>
  <si>
    <t>Nezpůsobilé výdaje</t>
  </si>
  <si>
    <t>BILANCE ZDROJŮ FINANCOVÁNÍ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</si>
  <si>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</si>
  <si>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</si>
  <si>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</si>
  <si>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</si>
  <si>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</si>
  <si>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</si>
  <si>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</si>
  <si>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</si>
  <si>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</si>
  <si>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</si>
  <si>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</si>
  <si>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</si>
  <si>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</si>
  <si>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</si>
  <si>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</si>
  <si>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</si>
  <si>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</si>
  <si>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</si>
  <si>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</si>
  <si>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</si>
  <si>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</si>
  <si>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</si>
  <si>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</si>
  <si>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</si>
  <si>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</si>
  <si>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</si>
  <si>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</si>
  <si>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</si>
  <si>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</si>
  <si>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</si>
  <si>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</si>
  <si>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</si>
  <si>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</si>
  <si>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</si>
  <si>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</si>
  <si>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</si>
  <si>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</si>
  <si>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</si>
  <si>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</si>
  <si>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</si>
  <si>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</si>
  <si>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</si>
  <si>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</si>
  <si>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</si>
  <si>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</si>
  <si>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</si>
  <si>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</si>
  <si>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</si>
  <si>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</si>
  <si>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</si>
  <si>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</si>
  <si>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</si>
  <si>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</si>
  <si>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</si>
  <si>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</si>
  <si>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</si>
  <si>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</si>
  <si>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</si>
  <si>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</si>
  <si>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</si>
  <si>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</si>
  <si>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</si>
  <si>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</si>
  <si>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</si>
  <si>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</si>
  <si>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</si>
  <si>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</si>
  <si>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</si>
  <si>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</si>
  <si>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</si>
  <si>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</si>
  <si>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</si>
  <si>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</si>
  <si>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</si>
  <si>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</si>
  <si>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</si>
  <si>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</si>
  <si>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</si>
  <si>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</si>
  <si>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</si>
  <si>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</si>
  <si>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</si>
  <si>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>S</t>
  </si>
  <si>
    <t xml:space="preserve">Plnění termínů, indikátorů a parametrů  </t>
  </si>
  <si>
    <t>Název rozhodnutí</t>
  </si>
  <si>
    <t>Datum vydání</t>
  </si>
  <si>
    <t>HARMONOGRAM</t>
  </si>
  <si>
    <t>Název etapy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</si>
  <si>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</si>
  <si>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</si>
  <si>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</si>
  <si>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</si>
  <si>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</si>
  <si>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</si>
  <si>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0"/>
      </rPr>
      <t xml:space="preserve"> dle posledního platného rozhodnutí</t>
    </r>
  </si>
  <si>
    <t>Závaznost indikátoru</t>
  </si>
  <si>
    <t>x=</t>
  </si>
  <si>
    <t>y=</t>
  </si>
  <si>
    <t>PARAMETRY</t>
  </si>
  <si>
    <t>Název parametru</t>
  </si>
  <si>
    <t>OSTATNÍ DOKLADY</t>
  </si>
  <si>
    <t>Název dokladu</t>
  </si>
  <si>
    <t>Datum vydání/nabytí právní moci</t>
  </si>
  <si>
    <t>Kdo vydal</t>
  </si>
  <si>
    <t>Monitorovací zpráva - přehled faktur - projekt: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</si>
  <si>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</si>
  <si>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</si>
  <si>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</si>
  <si>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</si>
  <si>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</si>
  <si>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</si>
  <si>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</si>
  <si>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</si>
  <si>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</si>
  <si>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</si>
  <si>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</si>
  <si>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</si>
  <si>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</si>
  <si>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</si>
  <si>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</si>
  <si>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</si>
  <si>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</si>
  <si>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</si>
  <si>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</si>
  <si>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</si>
  <si>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</si>
  <si>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</si>
  <si>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</si>
  <si>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</si>
  <si>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</si>
  <si>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</si>
  <si>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</si>
  <si>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</si>
  <si>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</si>
  <si>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</si>
  <si>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Placeno limitkou</t>
  </si>
  <si>
    <t>Způsobilé výdaje po korekci</t>
  </si>
  <si>
    <t>Způsobilé výdaje vyplacené přes limitku</t>
  </si>
  <si>
    <t>Způsobilé výdaje nevyplacené přes limitku</t>
  </si>
  <si>
    <t>Poř. číslo</t>
  </si>
  <si>
    <t>VYPLŇUJE CRR/MPSV - KOREKCE VÝDAJŮ</t>
  </si>
  <si>
    <t>INV z limitky</t>
  </si>
  <si>
    <t>INV bez limitky</t>
  </si>
  <si>
    <t>NIV z limitky</t>
  </si>
  <si>
    <t>NIV bez limitky</t>
  </si>
  <si>
    <t>Způsobilé výdaje - investice</t>
  </si>
  <si>
    <t>Způsobilé výdaje - neinvestice</t>
  </si>
  <si>
    <t>Způsobilé výdaje - investice vyplacené přes limitku</t>
  </si>
  <si>
    <t>Způsobilé výdaje - investice nevyplacené přes limitku</t>
  </si>
  <si>
    <t>Způsobilé výdaje - neinvestice vyplacené přes limitku</t>
  </si>
  <si>
    <t>Způsobilé výdaje - neinvestice nevyplacené přes limitku</t>
  </si>
  <si>
    <t>Jméno, podpis pracovníka CRR</t>
  </si>
  <si>
    <t>Zkontroloval</t>
  </si>
  <si>
    <t>Kód výběrového řízení</t>
  </si>
  <si>
    <t>Podíly dle Podmínek</t>
  </si>
  <si>
    <t>Korekce bez DPH</t>
  </si>
  <si>
    <t>RPD</t>
  </si>
  <si>
    <t>Datum ukončení</t>
  </si>
  <si>
    <t>Výchozí hodnota</t>
  </si>
  <si>
    <t>Cílová hodnota</t>
  </si>
  <si>
    <t>Hodnota</t>
  </si>
  <si>
    <t>Závaznost</t>
  </si>
  <si>
    <t>Min. hodnota</t>
  </si>
  <si>
    <t>Max. hodnota</t>
  </si>
  <si>
    <t xml:space="preserve">Soupiska výdajů/faktur je přílohou Příručky pro žadatele a příjemce u příslušné oblasti intervence a výzvy. </t>
  </si>
  <si>
    <t>Vyplňte pouze bílá pole.</t>
  </si>
  <si>
    <t>1) Vyplnění identifikačních údajů projektu a příjemce</t>
  </si>
  <si>
    <t>2) Vyplnění jednotlivých sloupců Soupisky výdajů/faktur</t>
  </si>
  <si>
    <t>3) Vyplnění zápatí soupisky výdajů/faktur</t>
  </si>
  <si>
    <t xml:space="preserve">Soupiska se předává v tištěném formátu včetně podpisu statutárního zástupce a v elektronickém formátu v EXCEL! </t>
  </si>
  <si>
    <t>Vyplní se :</t>
  </si>
  <si>
    <t>Název etapy - např. První etapa</t>
  </si>
  <si>
    <t>Poř. číslo výdaje</t>
  </si>
  <si>
    <t>Kód výběrového řízení – číslo pod kterým je VŘ uloženo do Benefitu7</t>
  </si>
  <si>
    <t xml:space="preserve">Číslo dokladu (faktury) </t>
  </si>
  <si>
    <t>Identifikační číslo (IČ)</t>
  </si>
  <si>
    <t>Číslo řádku Neinvestičního výdaje - vyberte příslušný kód Neinvestičního výdaje</t>
  </si>
  <si>
    <t>Číslo řádku Investičního výdaje - vyberte příslušný kód Investičního výdaje</t>
  </si>
  <si>
    <t>Vyplní se:</t>
  </si>
  <si>
    <t>Způsobilost výdaje - vyberte, zda se jedná o způsobilý nebo nezpůsobilý výdaj (výčet způsobilých a nezpůsobilých výdajů je uveden v Příručce pro žadatele a příjemce)</t>
  </si>
  <si>
    <t>Cena bez DPH - uvedena na příslušné faktuře</t>
  </si>
  <si>
    <t>DPH - uvedeno na příslušné faktuře</t>
  </si>
  <si>
    <t>Cena celkem - skutečně uhrazená cena (tzn. i po případném halířovém vyrovnání)</t>
  </si>
  <si>
    <t>Datum úhrady - dle výpisu z bankovního účtu, popř. jiného dokladu</t>
  </si>
  <si>
    <t>Placeno limitkou - vyberte, zda daný výdaj byl proplacen přes limitku (možnost Ano) nebo nikoli (možnost Ne); u výdajů, které byly označeny jako nezpůsobilé, nevyplňujte</t>
  </si>
  <si>
    <t>Údaje v části Zdroj financování jsou vyplněny automaticky</t>
  </si>
  <si>
    <t xml:space="preserve"> Jméno a podpis osoby, která zpracovala soupisku výdajů</t>
  </si>
  <si>
    <t xml:space="preserve"> Jméno a podpis osoby, která soupisku výdajů schválila (statutární zástupce příjemce nebo jím pověřená osoba)</t>
  </si>
  <si>
    <t xml:space="preserve">Postup při vyplňování soupisky výdajů/faktur </t>
  </si>
  <si>
    <t xml:space="preserve">Číslo soupisky faktur - číslo etapy/poslední pětičíslí registračního čísla projektu; např. 1/00330; </t>
  </si>
  <si>
    <t>Název projektu - vyplňte název projektu</t>
  </si>
  <si>
    <t>RPD – rozpočtová položka druhová</t>
  </si>
  <si>
    <t>DUZP - datum uznatelného zdanitelného plnění  - uvedeno na příslušné faktuře</t>
  </si>
  <si>
    <t xml:space="preserve">Datum </t>
  </si>
  <si>
    <t>Přehled vydaných Registrací projektu a Rozhodnutí o poskytnutí dotace včetně změn</t>
  </si>
  <si>
    <t xml:space="preserve">Registrační číslo projektu - uvedeno v Rozhodnutí/Stanovení výdajů; např. CZ.1.06/3.3.05/01.00330; </t>
  </si>
  <si>
    <t xml:space="preserve">Název příjemce </t>
  </si>
  <si>
    <t>Číslo etapy - např. 1</t>
  </si>
  <si>
    <t>Výše finančních prostředků (v Kč)</t>
  </si>
  <si>
    <t>Závaznost ukončení</t>
  </si>
  <si>
    <t>Datum cílové hodnoty</t>
  </si>
  <si>
    <t>Způsobilé výdaje investiční vyplacené přes limitku - Vyúčtování vynaložených výdajů</t>
  </si>
  <si>
    <t>Způsobilé výdaje neinvestiční vyplacené přes limitku - Vyúčtování vynaložených výdajů</t>
  </si>
  <si>
    <t>Způsobilé výdaje investiční nevyplacené přes limitku - Požadované výdaje</t>
  </si>
  <si>
    <t>Způsobilé výdaje neinvestiční nevyplacené přes limitku - Požadované výdaje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</si>
</sst>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  <numFmt numFmtId="176" formatCode="#,##0.00_ ;\-#,##0.00\ "/>
    <numFmt numFmtId="177" formatCode="[$¥€-2]\ #\ ##,000_);[Red]\([$€-2]\ #\ ##,000\)"/>
  </numFmts>
  <fonts count="69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0"/>
    </font>
    <font>
      <b/>
      <sz val="7"/>
      <name val="Arial"/>
      <family val="0"/>
    </font>
    <font>
      <b/>
      <sz val="7"/>
      <color indexed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7"/>
      <name val="Symbol"/>
      <family val="1"/>
    </font>
    <font>
      <b/>
      <sz val="14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i/>
      <sz val="10"/>
      <color indexed="40"/>
      <name val="Arial"/>
      <family val="2"/>
    </font>
    <font>
      <b/>
      <i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611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8" applyFont="1" applyFill="1" applyBorder="1" applyAlignment="1" applyProtection="1">
      <alignment vertical="top"/>
      <protection hidden="1"/>
    </xf>
    <xf numFmtId="0" fontId="7" fillId="0" borderId="0" xfId="48" applyFont="1" applyFill="1" applyBorder="1" applyAlignment="1" applyProtection="1">
      <alignment vertical="center"/>
      <protection hidden="1"/>
    </xf>
    <xf numFmtId="0" fontId="7" fillId="0" borderId="0" xfId="48" applyFont="1" applyFill="1" applyBorder="1" applyAlignment="1" applyProtection="1">
      <alignment horizontal="center" vertical="top" wrapText="1"/>
      <protection hidden="1"/>
    </xf>
    <xf numFmtId="3" fontId="4" fillId="0" borderId="0" xfId="48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32" borderId="12" xfId="0" applyNumberFormat="1" applyFont="1" applyFill="1" applyBorder="1" applyAlignment="1" applyProtection="1">
      <alignment horizontal="center"/>
      <protection hidden="1" locked="0"/>
    </xf>
    <xf numFmtId="4" fontId="4" fillId="32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2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34" borderId="10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34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33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3" borderId="18" xfId="0" applyNumberFormat="1" applyFont="1" applyFill="1" applyBorder="1" applyAlignment="1" applyProtection="1">
      <alignment vertical="center"/>
      <protection hidden="1" locked="0"/>
    </xf>
    <xf numFmtId="165" fontId="13" fillId="33" borderId="14" xfId="0" applyNumberFormat="1" applyFont="1" applyFill="1" applyBorder="1" applyAlignment="1" applyProtection="1">
      <alignment vertical="center"/>
      <protection hidden="1" locked="0"/>
    </xf>
    <xf numFmtId="165" fontId="13" fillId="33" borderId="10" xfId="0" applyNumberFormat="1" applyFont="1" applyFill="1" applyBorder="1" applyAlignment="1" applyProtection="1">
      <alignment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35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35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32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33" borderId="17" xfId="0" applyNumberFormat="1" applyFont="1" applyFill="1" applyBorder="1" applyAlignment="1" applyProtection="1">
      <alignment horizontal="right"/>
      <protection hidden="1" locked="0"/>
    </xf>
    <xf numFmtId="165" fontId="7" fillId="33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36" borderId="20" xfId="0" applyFont="1" applyFill="1" applyBorder="1" applyAlignment="1" applyProtection="1">
      <alignment/>
      <protection locked="0"/>
    </xf>
    <xf numFmtId="165" fontId="13" fillId="3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6" borderId="18" xfId="0" applyNumberFormat="1" applyFont="1" applyFill="1" applyBorder="1" applyAlignment="1" applyProtection="1">
      <alignment vertical="center"/>
      <protection hidden="1" locked="0"/>
    </xf>
    <xf numFmtId="165" fontId="7" fillId="36" borderId="20" xfId="0" applyNumberFormat="1" applyFont="1" applyFill="1" applyBorder="1" applyAlignment="1" applyProtection="1">
      <alignment vertical="center"/>
      <protection hidden="1" locked="0"/>
    </xf>
    <xf numFmtId="165" fontId="7" fillId="36" borderId="21" xfId="0" applyNumberFormat="1" applyFont="1" applyFill="1" applyBorder="1" applyAlignment="1" applyProtection="1">
      <alignment vertical="center"/>
      <protection hidden="1" locked="0"/>
    </xf>
    <xf numFmtId="0" fontId="14" fillId="36" borderId="22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vertical="center"/>
      <protection locked="0"/>
    </xf>
    <xf numFmtId="165" fontId="13" fillId="3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5" borderId="23" xfId="0" applyNumberFormat="1" applyFont="1" applyFill="1" applyBorder="1" applyAlignment="1" applyProtection="1">
      <alignment horizontal="center" vertical="center"/>
      <protection hidden="1"/>
    </xf>
    <xf numFmtId="49" fontId="12" fillId="35" borderId="24" xfId="0" applyNumberFormat="1" applyFont="1" applyFill="1" applyBorder="1" applyAlignment="1" applyProtection="1">
      <alignment horizontal="center"/>
      <protection hidden="1"/>
    </xf>
    <xf numFmtId="49" fontId="12" fillId="35" borderId="25" xfId="0" applyNumberFormat="1" applyFont="1" applyFill="1" applyBorder="1" applyAlignment="1" applyProtection="1">
      <alignment horizontal="center"/>
      <protection hidden="1"/>
    </xf>
    <xf numFmtId="4" fontId="7" fillId="35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3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34" borderId="14" xfId="0" applyNumberFormat="1" applyFont="1" applyFill="1" applyBorder="1" applyAlignment="1" applyProtection="1">
      <alignment vertical="center"/>
      <protection hidden="1" locked="0"/>
    </xf>
    <xf numFmtId="165" fontId="21" fillId="34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4" borderId="31" xfId="0" applyFont="1" applyFill="1" applyBorder="1" applyAlignment="1">
      <alignment horizontal="left"/>
    </xf>
    <xf numFmtId="0" fontId="22" fillId="4" borderId="31" xfId="0" applyFont="1" applyFill="1" applyBorder="1" applyAlignment="1">
      <alignment/>
    </xf>
    <xf numFmtId="0" fontId="22" fillId="0" borderId="0" xfId="0" applyFont="1" applyAlignment="1">
      <alignment/>
    </xf>
    <xf numFmtId="0" fontId="22" fillId="4" borderId="31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0" fontId="22" fillId="4" borderId="33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34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4" borderId="34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4" xfId="0" applyFont="1" applyBorder="1" applyAlignment="1">
      <alignment/>
    </xf>
    <xf numFmtId="0" fontId="25" fillId="0" borderId="34" xfId="0" applyFont="1" applyBorder="1" applyAlignment="1">
      <alignment horizontal="right"/>
    </xf>
    <xf numFmtId="0" fontId="25" fillId="0" borderId="34" xfId="0" applyFont="1" applyBorder="1" applyAlignment="1">
      <alignment horizontal="center"/>
    </xf>
    <xf numFmtId="173" fontId="26" fillId="0" borderId="34" xfId="0" applyNumberFormat="1" applyFont="1" applyBorder="1" applyAlignment="1">
      <alignment/>
    </xf>
    <xf numFmtId="44" fontId="26" fillId="0" borderId="34" xfId="39" applyFont="1" applyBorder="1" applyAlignment="1">
      <alignment/>
    </xf>
    <xf numFmtId="174" fontId="25" fillId="0" borderId="34" xfId="0" applyNumberFormat="1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4" xfId="39" applyFont="1" applyBorder="1" applyAlignment="1">
      <alignment/>
    </xf>
    <xf numFmtId="44" fontId="25" fillId="0" borderId="34" xfId="0" applyNumberFormat="1" applyFont="1" applyBorder="1" applyAlignment="1">
      <alignment/>
    </xf>
    <xf numFmtId="174" fontId="25" fillId="0" borderId="34" xfId="0" applyNumberFormat="1" applyFont="1" applyBorder="1" applyAlignment="1">
      <alignment horizontal="left"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5" fillId="0" borderId="37" xfId="0" applyFont="1" applyBorder="1" applyAlignment="1">
      <alignment/>
    </xf>
    <xf numFmtId="44" fontId="25" fillId="0" borderId="38" xfId="0" applyNumberFormat="1" applyFont="1" applyBorder="1" applyAlignment="1">
      <alignment/>
    </xf>
    <xf numFmtId="44" fontId="25" fillId="0" borderId="39" xfId="0" applyNumberFormat="1" applyFont="1" applyBorder="1" applyAlignment="1">
      <alignment/>
    </xf>
    <xf numFmtId="0" fontId="25" fillId="0" borderId="40" xfId="0" applyFont="1" applyBorder="1" applyAlignment="1">
      <alignment/>
    </xf>
    <xf numFmtId="44" fontId="25" fillId="0" borderId="41" xfId="0" applyNumberFormat="1" applyFont="1" applyBorder="1" applyAlignment="1">
      <alignment/>
    </xf>
    <xf numFmtId="0" fontId="25" fillId="0" borderId="42" xfId="0" applyFont="1" applyBorder="1" applyAlignment="1">
      <alignment/>
    </xf>
    <xf numFmtId="44" fontId="25" fillId="0" borderId="43" xfId="0" applyNumberFormat="1" applyFont="1" applyBorder="1" applyAlignment="1">
      <alignment/>
    </xf>
    <xf numFmtId="44" fontId="25" fillId="0" borderId="44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2" fontId="22" fillId="0" borderId="0" xfId="0" applyNumberFormat="1" applyFont="1" applyBorder="1" applyAlignment="1">
      <alignment/>
    </xf>
    <xf numFmtId="0" fontId="27" fillId="4" borderId="4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49" fontId="22" fillId="0" borderId="46" xfId="0" applyNumberFormat="1" applyFont="1" applyBorder="1" applyAlignment="1">
      <alignment/>
    </xf>
    <xf numFmtId="14" fontId="22" fillId="0" borderId="46" xfId="0" applyNumberFormat="1" applyFont="1" applyBorder="1" applyAlignment="1">
      <alignment horizontal="left"/>
    </xf>
    <xf numFmtId="49" fontId="22" fillId="0" borderId="47" xfId="0" applyNumberFormat="1" applyFont="1" applyBorder="1" applyAlignment="1">
      <alignment/>
    </xf>
    <xf numFmtId="14" fontId="22" fillId="0" borderId="47" xfId="0" applyNumberFormat="1" applyFont="1" applyBorder="1" applyAlignment="1">
      <alignment horizontal="left"/>
    </xf>
    <xf numFmtId="49" fontId="22" fillId="0" borderId="48" xfId="0" applyNumberFormat="1" applyFont="1" applyBorder="1" applyAlignment="1">
      <alignment/>
    </xf>
    <xf numFmtId="14" fontId="22" fillId="0" borderId="48" xfId="0" applyNumberFormat="1" applyFont="1" applyBorder="1" applyAlignment="1">
      <alignment horizontal="left"/>
    </xf>
    <xf numFmtId="49" fontId="22" fillId="0" borderId="49" xfId="0" applyNumberFormat="1" applyFont="1" applyBorder="1" applyAlignment="1">
      <alignment/>
    </xf>
    <xf numFmtId="14" fontId="22" fillId="0" borderId="49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10" xfId="0" applyFont="1" applyFill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/>
    </xf>
    <xf numFmtId="0" fontId="22" fillId="0" borderId="50" xfId="0" applyFont="1" applyBorder="1" applyAlignment="1">
      <alignment/>
    </xf>
    <xf numFmtId="49" fontId="22" fillId="0" borderId="49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51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22" fillId="0" borderId="48" xfId="0" applyNumberFormat="1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53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8" xfId="0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4" xfId="0" applyFont="1" applyBorder="1" applyAlignment="1">
      <alignment/>
    </xf>
    <xf numFmtId="49" fontId="22" fillId="0" borderId="54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4" fontId="22" fillId="0" borderId="46" xfId="0" applyNumberFormat="1" applyFont="1" applyBorder="1" applyAlignment="1">
      <alignment/>
    </xf>
    <xf numFmtId="14" fontId="22" fillId="0" borderId="48" xfId="0" applyNumberFormat="1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" fontId="26" fillId="0" borderId="34" xfId="0" applyNumberFormat="1" applyFont="1" applyBorder="1" applyAlignment="1">
      <alignment/>
    </xf>
    <xf numFmtId="1" fontId="25" fillId="0" borderId="34" xfId="0" applyNumberFormat="1" applyFont="1" applyBorder="1" applyAlignment="1">
      <alignment/>
    </xf>
    <xf numFmtId="1" fontId="26" fillId="0" borderId="34" xfId="0" applyNumberFormat="1" applyFont="1" applyBorder="1" applyAlignment="1">
      <alignment/>
    </xf>
    <xf numFmtId="0" fontId="26" fillId="0" borderId="34" xfId="0" applyFont="1" applyBorder="1" applyAlignment="1">
      <alignment/>
    </xf>
    <xf numFmtId="44" fontId="26" fillId="0" borderId="34" xfId="39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6" xfId="0" applyNumberFormat="1" applyFont="1" applyFill="1" applyBorder="1" applyAlignment="1">
      <alignment/>
    </xf>
    <xf numFmtId="0" fontId="23" fillId="4" borderId="31" xfId="0" applyFont="1" applyFill="1" applyBorder="1" applyAlignment="1">
      <alignment horizontal="left"/>
    </xf>
    <xf numFmtId="0" fontId="22" fillId="4" borderId="57" xfId="0" applyFont="1" applyFill="1" applyBorder="1" applyAlignment="1">
      <alignment horizontal="left"/>
    </xf>
    <xf numFmtId="0" fontId="22" fillId="4" borderId="57" xfId="0" applyFont="1" applyFill="1" applyBorder="1" applyAlignment="1">
      <alignment/>
    </xf>
    <xf numFmtId="0" fontId="22" fillId="0" borderId="31" xfId="0" applyFont="1" applyBorder="1" applyAlignment="1" applyProtection="1">
      <alignment/>
      <protection locked="0"/>
    </xf>
    <xf numFmtId="0" fontId="22" fillId="0" borderId="57" xfId="0" applyFont="1" applyBorder="1" applyAlignment="1" applyProtection="1">
      <alignment/>
      <protection locked="0"/>
    </xf>
    <xf numFmtId="0" fontId="22" fillId="0" borderId="31" xfId="39" applyNumberFormat="1" applyFont="1" applyBorder="1" applyAlignment="1" applyProtection="1">
      <alignment/>
      <protection locked="0"/>
    </xf>
    <xf numFmtId="172" fontId="22" fillId="0" borderId="31" xfId="39" applyNumberFormat="1" applyFont="1" applyBorder="1" applyAlignment="1" applyProtection="1">
      <alignment/>
      <protection locked="0"/>
    </xf>
    <xf numFmtId="172" fontId="22" fillId="0" borderId="58" xfId="0" applyNumberFormat="1" applyFont="1" applyBorder="1" applyAlignment="1" applyProtection="1">
      <alignment horizontal="center" vertical="center"/>
      <protection locked="0"/>
    </xf>
    <xf numFmtId="165" fontId="22" fillId="0" borderId="31" xfId="0" applyNumberFormat="1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0" fontId="23" fillId="0" borderId="57" xfId="0" applyFont="1" applyBorder="1" applyAlignment="1" applyProtection="1">
      <alignment/>
      <protection locked="0"/>
    </xf>
    <xf numFmtId="0" fontId="22" fillId="0" borderId="57" xfId="0" applyFont="1" applyBorder="1" applyAlignment="1" applyProtection="1">
      <alignment vertical="center"/>
      <protection locked="0"/>
    </xf>
    <xf numFmtId="0" fontId="23" fillId="0" borderId="31" xfId="39" applyNumberFormat="1" applyFont="1" applyBorder="1" applyAlignment="1" applyProtection="1">
      <alignment/>
      <protection locked="0"/>
    </xf>
    <xf numFmtId="172" fontId="23" fillId="0" borderId="31" xfId="39" applyNumberFormat="1" applyFont="1" applyBorder="1" applyAlignment="1" applyProtection="1">
      <alignment/>
      <protection locked="0"/>
    </xf>
    <xf numFmtId="0" fontId="22" fillId="0" borderId="57" xfId="0" applyFont="1" applyBorder="1" applyAlignment="1" applyProtection="1">
      <alignment wrapText="1"/>
      <protection locked="0"/>
    </xf>
    <xf numFmtId="0" fontId="23" fillId="0" borderId="31" xfId="0" applyNumberFormat="1" applyFont="1" applyBorder="1" applyAlignment="1" applyProtection="1">
      <alignment/>
      <protection locked="0"/>
    </xf>
    <xf numFmtId="172" fontId="23" fillId="0" borderId="31" xfId="0" applyNumberFormat="1" applyFont="1" applyBorder="1" applyAlignment="1" applyProtection="1">
      <alignment/>
      <protection locked="0"/>
    </xf>
    <xf numFmtId="0" fontId="22" fillId="0" borderId="31" xfId="0" applyNumberFormat="1" applyFont="1" applyBorder="1" applyAlignment="1" applyProtection="1">
      <alignment/>
      <protection locked="0"/>
    </xf>
    <xf numFmtId="172" fontId="22" fillId="0" borderId="31" xfId="0" applyNumberFormat="1" applyFont="1" applyBorder="1" applyAlignment="1" applyProtection="1">
      <alignment/>
      <protection locked="0"/>
    </xf>
    <xf numFmtId="172" fontId="22" fillId="0" borderId="0" xfId="0" applyNumberFormat="1" applyFont="1" applyBorder="1" applyAlignment="1" applyProtection="1">
      <alignment/>
      <protection locked="0"/>
    </xf>
    <xf numFmtId="172" fontId="22" fillId="0" borderId="31" xfId="0" applyNumberFormat="1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56" xfId="0" applyFont="1" applyBorder="1" applyAlignment="1" applyProtection="1">
      <alignment vertical="center" wrapText="1"/>
      <protection locked="0"/>
    </xf>
    <xf numFmtId="0" fontId="22" fillId="0" borderId="59" xfId="0" applyFont="1" applyBorder="1" applyAlignment="1" applyProtection="1">
      <alignment vertical="center" wrapText="1"/>
      <protection locked="0"/>
    </xf>
    <xf numFmtId="165" fontId="22" fillId="0" borderId="33" xfId="0" applyNumberFormat="1" applyFont="1" applyBorder="1" applyAlignment="1" applyProtection="1">
      <alignment/>
      <protection locked="0"/>
    </xf>
    <xf numFmtId="4" fontId="22" fillId="0" borderId="0" xfId="0" applyNumberFormat="1" applyFont="1" applyAlignment="1">
      <alignment/>
    </xf>
    <xf numFmtId="164" fontId="22" fillId="0" borderId="31" xfId="0" applyNumberFormat="1" applyFont="1" applyBorder="1" applyAlignment="1" applyProtection="1">
      <alignment horizontal="center"/>
      <protection locked="0"/>
    </xf>
    <xf numFmtId="4" fontId="22" fillId="37" borderId="34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165" fontId="22" fillId="32" borderId="31" xfId="0" applyNumberFormat="1" applyFont="1" applyFill="1" applyBorder="1" applyAlignment="1" applyProtection="1">
      <alignment/>
      <protection locked="0"/>
    </xf>
    <xf numFmtId="165" fontId="22" fillId="32" borderId="33" xfId="0" applyNumberFormat="1" applyFont="1" applyFill="1" applyBorder="1" applyAlignment="1" applyProtection="1">
      <alignment/>
      <protection locked="0"/>
    </xf>
    <xf numFmtId="165" fontId="22" fillId="32" borderId="32" xfId="0" applyNumberFormat="1" applyFont="1" applyFill="1" applyBorder="1" applyAlignment="1" applyProtection="1">
      <alignment/>
      <protection locked="0"/>
    </xf>
    <xf numFmtId="165" fontId="23" fillId="32" borderId="32" xfId="0" applyNumberFormat="1" applyFont="1" applyFill="1" applyBorder="1" applyAlignment="1" applyProtection="1">
      <alignment/>
      <protection locked="0"/>
    </xf>
    <xf numFmtId="165" fontId="23" fillId="32" borderId="31" xfId="0" applyNumberFormat="1" applyFont="1" applyFill="1" applyBorder="1" applyAlignment="1" applyProtection="1">
      <alignment/>
      <protection locked="0"/>
    </xf>
    <xf numFmtId="39" fontId="22" fillId="32" borderId="36" xfId="0" applyNumberFormat="1" applyFont="1" applyFill="1" applyBorder="1" applyAlignment="1">
      <alignment/>
    </xf>
    <xf numFmtId="39" fontId="22" fillId="32" borderId="60" xfId="0" applyNumberFormat="1" applyFont="1" applyFill="1" applyBorder="1" applyAlignment="1">
      <alignment/>
    </xf>
    <xf numFmtId="0" fontId="22" fillId="32" borderId="61" xfId="0" applyFont="1" applyFill="1" applyBorder="1" applyAlignment="1">
      <alignment/>
    </xf>
    <xf numFmtId="0" fontId="22" fillId="32" borderId="62" xfId="0" applyFont="1" applyFill="1" applyBorder="1" applyAlignment="1">
      <alignment/>
    </xf>
    <xf numFmtId="0" fontId="22" fillId="32" borderId="63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72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Border="1" applyAlignment="1">
      <alignment horizontal="center"/>
    </xf>
    <xf numFmtId="4" fontId="23" fillId="32" borderId="34" xfId="0" applyNumberFormat="1" applyFont="1" applyFill="1" applyBorder="1" applyAlignment="1">
      <alignment/>
    </xf>
    <xf numFmtId="0" fontId="23" fillId="32" borderId="34" xfId="0" applyFont="1" applyFill="1" applyBorder="1" applyAlignment="1">
      <alignment/>
    </xf>
    <xf numFmtId="4" fontId="23" fillId="32" borderId="34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4" fontId="23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0" fontId="22" fillId="0" borderId="46" xfId="0" applyFont="1" applyBorder="1" applyAlignment="1">
      <alignment/>
    </xf>
    <xf numFmtId="0" fontId="23" fillId="4" borderId="10" xfId="0" applyFont="1" applyFill="1" applyBorder="1" applyAlignment="1">
      <alignment horizontal="centerContinuous" vertical="center" wrapText="1"/>
    </xf>
    <xf numFmtId="44" fontId="22" fillId="0" borderId="0" xfId="40" applyFont="1" applyBorder="1" applyAlignment="1">
      <alignment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3" fontId="3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44" fontId="22" fillId="0" borderId="0" xfId="39" applyFont="1" applyBorder="1" applyAlignment="1" applyProtection="1">
      <alignment vertical="center" wrapText="1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23" fillId="4" borderId="10" xfId="0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64" xfId="0" applyFont="1" applyBorder="1" applyAlignment="1">
      <alignment horizontal="left" vertical="center" wrapText="1"/>
    </xf>
    <xf numFmtId="0" fontId="23" fillId="0" borderId="1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47" xfId="0" applyFont="1" applyBorder="1" applyAlignment="1">
      <alignment/>
    </xf>
    <xf numFmtId="14" fontId="23" fillId="4" borderId="17" xfId="0" applyNumberFormat="1" applyFont="1" applyFill="1" applyBorder="1" applyAlignment="1">
      <alignment horizontal="center"/>
    </xf>
    <xf numFmtId="164" fontId="22" fillId="0" borderId="65" xfId="0" applyNumberFormat="1" applyFont="1" applyBorder="1" applyAlignment="1" applyProtection="1">
      <alignment horizontal="center"/>
      <protection locked="0"/>
    </xf>
    <xf numFmtId="39" fontId="22" fillId="32" borderId="66" xfId="0" applyNumberFormat="1" applyFont="1" applyFill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67" xfId="0" applyFont="1" applyFill="1" applyBorder="1" applyAlignment="1" applyProtection="1">
      <alignment horizontal="center" vertical="center" textRotation="90" wrapText="1"/>
      <protection locked="0"/>
    </xf>
    <xf numFmtId="0" fontId="0" fillId="0" borderId="68" xfId="0" applyFont="1" applyFill="1" applyBorder="1" applyAlignment="1" applyProtection="1">
      <alignment horizontal="center" vertical="center" textRotation="90" wrapText="1"/>
      <protection locked="0"/>
    </xf>
    <xf numFmtId="0" fontId="12" fillId="36" borderId="69" xfId="0" applyFont="1" applyFill="1" applyBorder="1" applyAlignment="1" applyProtection="1">
      <alignment horizontal="center" vertical="center"/>
      <protection locked="0"/>
    </xf>
    <xf numFmtId="0" fontId="12" fillId="36" borderId="12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38" borderId="21" xfId="0" applyFont="1" applyFill="1" applyBorder="1" applyAlignment="1" applyProtection="1">
      <alignment horizontal="center" vertical="center" textRotation="90" wrapText="1"/>
      <protection locked="0"/>
    </xf>
    <xf numFmtId="0" fontId="12" fillId="38" borderId="67" xfId="0" applyFont="1" applyFill="1" applyBorder="1" applyAlignment="1" applyProtection="1">
      <alignment horizontal="center" vertical="center" textRotation="90" wrapText="1"/>
      <protection locked="0"/>
    </xf>
    <xf numFmtId="0" fontId="12" fillId="38" borderId="68" xfId="0" applyFont="1" applyFill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67" xfId="0" applyFont="1" applyBorder="1" applyAlignment="1" applyProtection="1">
      <alignment horizontal="center" vertical="center" textRotation="90" wrapText="1"/>
      <protection locked="0"/>
    </xf>
    <xf numFmtId="0" fontId="12" fillId="0" borderId="68" xfId="0" applyFont="1" applyBorder="1" applyAlignment="1" applyProtection="1">
      <alignment horizontal="center" vertical="center" textRotation="90" wrapText="1"/>
      <protection locked="0"/>
    </xf>
    <xf numFmtId="0" fontId="0" fillId="0" borderId="67" xfId="0" applyFill="1" applyBorder="1" applyAlignment="1" applyProtection="1">
      <alignment horizontal="center" vertical="center" textRotation="90" wrapText="1"/>
      <protection locked="0"/>
    </xf>
    <xf numFmtId="0" fontId="0" fillId="0" borderId="68" xfId="0" applyFill="1" applyBorder="1" applyAlignment="1" applyProtection="1">
      <alignment horizontal="center" vertical="center" textRotation="90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3" xfId="0" applyFont="1" applyFill="1" applyBorder="1" applyAlignment="1" applyProtection="1">
      <alignment horizontal="center" vertical="center"/>
      <protection hidden="1" locked="0"/>
    </xf>
    <xf numFmtId="0" fontId="4" fillId="33" borderId="19" xfId="0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70" xfId="0" applyFont="1" applyFill="1" applyBorder="1" applyAlignment="1" applyProtection="1">
      <alignment horizontal="left"/>
      <protection hidden="1" locked="0"/>
    </xf>
    <xf numFmtId="0" fontId="4" fillId="33" borderId="14" xfId="0" applyFont="1" applyFill="1" applyBorder="1" applyAlignment="1" applyProtection="1">
      <alignment horizontal="left"/>
      <protection hidden="1" locked="0"/>
    </xf>
    <xf numFmtId="0" fontId="4" fillId="33" borderId="10" xfId="0" applyFont="1" applyFill="1" applyBorder="1" applyAlignment="1" applyProtection="1">
      <alignment horizontal="left"/>
      <protection hidden="1" locked="0"/>
    </xf>
    <xf numFmtId="0" fontId="7" fillId="33" borderId="22" xfId="48" applyFont="1" applyFill="1" applyBorder="1" applyAlignment="1" applyProtection="1">
      <alignment horizontal="center" vertical="center" wrapText="1"/>
      <protection hidden="1" locked="0"/>
    </xf>
    <xf numFmtId="0" fontId="7" fillId="33" borderId="15" xfId="48" applyFont="1" applyFill="1" applyBorder="1" applyAlignment="1" applyProtection="1">
      <alignment horizontal="center" vertical="center" wrapText="1"/>
      <protection hidden="1" locked="0"/>
    </xf>
    <xf numFmtId="4" fontId="7" fillId="33" borderId="53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69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4" fontId="4" fillId="33" borderId="71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72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73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69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3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49" fontId="7" fillId="34" borderId="69" xfId="0" applyNumberFormat="1" applyFont="1" applyFill="1" applyBorder="1" applyAlignment="1" applyProtection="1">
      <alignment horizontal="center"/>
      <protection hidden="1" locked="0"/>
    </xf>
    <xf numFmtId="49" fontId="7" fillId="34" borderId="12" xfId="0" applyNumberFormat="1" applyFont="1" applyFill="1" applyBorder="1" applyAlignment="1" applyProtection="1">
      <alignment horizontal="center"/>
      <protection hidden="1" locked="0"/>
    </xf>
    <xf numFmtId="49" fontId="7" fillId="34" borderId="20" xfId="0" applyNumberFormat="1" applyFont="1" applyFill="1" applyBorder="1" applyAlignment="1" applyProtection="1">
      <alignment horizontal="center"/>
      <protection hidden="1" locked="0"/>
    </xf>
    <xf numFmtId="0" fontId="0" fillId="0" borderId="71" xfId="0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Fill="1" applyBorder="1" applyAlignment="1" applyProtection="1">
      <alignment horizontal="center" vertical="center" wrapText="1"/>
      <protection locked="0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14" fillId="35" borderId="70" xfId="0" applyFont="1" applyFill="1" applyBorder="1" applyAlignment="1" applyProtection="1">
      <alignment horizontal="center" vertical="center" wrapText="1"/>
      <protection locked="0"/>
    </xf>
    <xf numFmtId="0" fontId="14" fillId="35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35" borderId="77" xfId="0" applyNumberFormat="1" applyFont="1" applyFill="1" applyBorder="1" applyAlignment="1" applyProtection="1">
      <alignment horizontal="right"/>
      <protection hidden="1"/>
    </xf>
    <xf numFmtId="166" fontId="3" fillId="35" borderId="72" xfId="0" applyNumberFormat="1" applyFont="1" applyFill="1" applyBorder="1" applyAlignment="1" applyProtection="1">
      <alignment horizontal="right"/>
      <protection hidden="1"/>
    </xf>
    <xf numFmtId="166" fontId="3" fillId="35" borderId="78" xfId="0" applyNumberFormat="1" applyFont="1" applyFill="1" applyBorder="1" applyAlignment="1" applyProtection="1">
      <alignment horizontal="right"/>
      <protection hidden="1"/>
    </xf>
    <xf numFmtId="166" fontId="3" fillId="35" borderId="79" xfId="0" applyNumberFormat="1" applyFont="1" applyFill="1" applyBorder="1" applyAlignment="1" applyProtection="1">
      <alignment horizontal="right"/>
      <protection hidden="1"/>
    </xf>
    <xf numFmtId="166" fontId="3" fillId="35" borderId="80" xfId="0" applyNumberFormat="1" applyFont="1" applyFill="1" applyBorder="1" applyAlignment="1" applyProtection="1">
      <alignment horizontal="right"/>
      <protection hidden="1"/>
    </xf>
    <xf numFmtId="166" fontId="3" fillId="35" borderId="81" xfId="0" applyNumberFormat="1" applyFont="1" applyFill="1" applyBorder="1" applyAlignment="1" applyProtection="1">
      <alignment horizontal="right"/>
      <protection hidden="1"/>
    </xf>
    <xf numFmtId="3" fontId="4" fillId="35" borderId="77" xfId="0" applyNumberFormat="1" applyFont="1" applyFill="1" applyBorder="1" applyAlignment="1" applyProtection="1">
      <alignment horizontal="left" vertical="center"/>
      <protection hidden="1" locked="0"/>
    </xf>
    <xf numFmtId="3" fontId="4" fillId="35" borderId="73" xfId="0" applyNumberFormat="1" applyFont="1" applyFill="1" applyBorder="1" applyAlignment="1" applyProtection="1">
      <alignment horizontal="left" vertical="center"/>
      <protection hidden="1" locked="0"/>
    </xf>
    <xf numFmtId="3" fontId="4" fillId="35" borderId="82" xfId="0" applyNumberFormat="1" applyFont="1" applyFill="1" applyBorder="1" applyAlignment="1" applyProtection="1">
      <alignment horizontal="left" vertical="center"/>
      <protection hidden="1" locked="0"/>
    </xf>
    <xf numFmtId="3" fontId="4" fillId="35" borderId="71" xfId="0" applyNumberFormat="1" applyFont="1" applyFill="1" applyBorder="1" applyAlignment="1" applyProtection="1">
      <alignment horizontal="left" vertical="center"/>
      <protection hidden="1" locked="0"/>
    </xf>
    <xf numFmtId="0" fontId="4" fillId="35" borderId="79" xfId="0" applyFont="1" applyFill="1" applyBorder="1" applyAlignment="1" applyProtection="1">
      <alignment horizontal="left" vertical="center"/>
      <protection hidden="1" locked="0"/>
    </xf>
    <xf numFmtId="0" fontId="4" fillId="35" borderId="83" xfId="0" applyFont="1" applyFill="1" applyBorder="1" applyAlignment="1" applyProtection="1">
      <alignment horizontal="left" vertical="center"/>
      <protection hidden="1" locked="0"/>
    </xf>
    <xf numFmtId="0" fontId="4" fillId="35" borderId="84" xfId="0" applyFont="1" applyFill="1" applyBorder="1" applyAlignment="1" applyProtection="1">
      <alignment horizontal="left" vertical="center"/>
      <protection hidden="1" locked="0"/>
    </xf>
    <xf numFmtId="0" fontId="4" fillId="35" borderId="85" xfId="0" applyFont="1" applyFill="1" applyBorder="1" applyAlignment="1" applyProtection="1">
      <alignment horizontal="left" vertical="center"/>
      <protection hidden="1" locked="0"/>
    </xf>
    <xf numFmtId="0" fontId="0" fillId="0" borderId="51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12" fillId="36" borderId="69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0" fontId="4" fillId="35" borderId="77" xfId="0" applyFont="1" applyFill="1" applyBorder="1" applyAlignment="1" applyProtection="1">
      <alignment vertical="center"/>
      <protection hidden="1" locked="0"/>
    </xf>
    <xf numFmtId="0" fontId="4" fillId="35" borderId="73" xfId="0" applyFont="1" applyFill="1" applyBorder="1" applyAlignment="1" applyProtection="1">
      <alignment vertical="center"/>
      <protection hidden="1" locked="0"/>
    </xf>
    <xf numFmtId="0" fontId="4" fillId="35" borderId="82" xfId="0" applyFont="1" applyFill="1" applyBorder="1" applyAlignment="1" applyProtection="1">
      <alignment vertical="center"/>
      <protection hidden="1" locked="0"/>
    </xf>
    <xf numFmtId="0" fontId="4" fillId="35" borderId="78" xfId="0" applyFont="1" applyFill="1" applyBorder="1" applyAlignment="1" applyProtection="1">
      <alignment vertical="center"/>
      <protection hidden="1" locked="0"/>
    </xf>
    <xf numFmtId="0" fontId="4" fillId="35" borderId="79" xfId="0" applyFont="1" applyFill="1" applyBorder="1" applyAlignment="1" applyProtection="1">
      <alignment vertical="center"/>
      <protection hidden="1" locked="0"/>
    </xf>
    <xf numFmtId="0" fontId="4" fillId="35" borderId="83" xfId="0" applyFont="1" applyFill="1" applyBorder="1" applyAlignment="1" applyProtection="1">
      <alignment vertical="center"/>
      <protection hidden="1" locked="0"/>
    </xf>
    <xf numFmtId="0" fontId="4" fillId="35" borderId="84" xfId="0" applyFont="1" applyFill="1" applyBorder="1" applyAlignment="1" applyProtection="1">
      <alignment vertical="center"/>
      <protection hidden="1" locked="0"/>
    </xf>
    <xf numFmtId="0" fontId="4" fillId="35" borderId="81" xfId="0" applyFont="1" applyFill="1" applyBorder="1" applyAlignment="1" applyProtection="1">
      <alignment vertical="center"/>
      <protection hidden="1" locked="0"/>
    </xf>
    <xf numFmtId="166" fontId="3" fillId="35" borderId="77" xfId="0" applyNumberFormat="1" applyFont="1" applyFill="1" applyBorder="1" applyAlignment="1" applyProtection="1">
      <alignment vertical="center"/>
      <protection hidden="1"/>
    </xf>
    <xf numFmtId="166" fontId="3" fillId="35" borderId="72" xfId="0" applyNumberFormat="1" applyFont="1" applyFill="1" applyBorder="1" applyAlignment="1" applyProtection="1">
      <alignment vertical="center"/>
      <protection hidden="1"/>
    </xf>
    <xf numFmtId="166" fontId="3" fillId="35" borderId="71" xfId="0" applyNumberFormat="1" applyFont="1" applyFill="1" applyBorder="1" applyAlignment="1" applyProtection="1">
      <alignment vertical="center"/>
      <protection hidden="1"/>
    </xf>
    <xf numFmtId="166" fontId="3" fillId="35" borderId="79" xfId="0" applyNumberFormat="1" applyFont="1" applyFill="1" applyBorder="1" applyAlignment="1" applyProtection="1">
      <alignment vertical="center"/>
      <protection hidden="1"/>
    </xf>
    <xf numFmtId="166" fontId="3" fillId="35" borderId="80" xfId="0" applyNumberFormat="1" applyFont="1" applyFill="1" applyBorder="1" applyAlignment="1" applyProtection="1">
      <alignment vertical="center"/>
      <protection hidden="1"/>
    </xf>
    <xf numFmtId="166" fontId="3" fillId="35" borderId="85" xfId="0" applyNumberFormat="1" applyFont="1" applyFill="1" applyBorder="1" applyAlignment="1" applyProtection="1">
      <alignment vertical="center"/>
      <protection hidden="1"/>
    </xf>
    <xf numFmtId="166" fontId="7" fillId="0" borderId="86" xfId="0" applyNumberFormat="1" applyFont="1" applyFill="1" applyBorder="1" applyAlignment="1" applyProtection="1">
      <alignment horizontal="center"/>
      <protection hidden="1" locked="0"/>
    </xf>
    <xf numFmtId="166" fontId="7" fillId="0" borderId="87" xfId="0" applyNumberFormat="1" applyFont="1" applyFill="1" applyBorder="1" applyAlignment="1" applyProtection="1">
      <alignment horizontal="center"/>
      <protection hidden="1" locked="0"/>
    </xf>
    <xf numFmtId="166" fontId="7" fillId="0" borderId="88" xfId="0" applyNumberFormat="1" applyFont="1" applyFill="1" applyBorder="1" applyAlignment="1" applyProtection="1">
      <alignment horizontal="center"/>
      <protection hidden="1" locked="0"/>
    </xf>
    <xf numFmtId="166" fontId="3" fillId="35" borderId="82" xfId="0" applyNumberFormat="1" applyFont="1" applyFill="1" applyBorder="1" applyAlignment="1" applyProtection="1">
      <alignment vertical="center"/>
      <protection hidden="1"/>
    </xf>
    <xf numFmtId="166" fontId="3" fillId="35" borderId="78" xfId="0" applyNumberFormat="1" applyFont="1" applyFill="1" applyBorder="1" applyAlignment="1" applyProtection="1">
      <alignment vertical="center"/>
      <protection hidden="1"/>
    </xf>
    <xf numFmtId="166" fontId="3" fillId="35" borderId="84" xfId="0" applyNumberFormat="1" applyFont="1" applyFill="1" applyBorder="1" applyAlignment="1" applyProtection="1">
      <alignment vertical="center"/>
      <protection hidden="1"/>
    </xf>
    <xf numFmtId="166" fontId="3" fillId="35" borderId="81" xfId="0" applyNumberFormat="1" applyFont="1" applyFill="1" applyBorder="1" applyAlignment="1" applyProtection="1">
      <alignment vertical="center"/>
      <protection hidden="1"/>
    </xf>
    <xf numFmtId="3" fontId="7" fillId="0" borderId="86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7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9" xfId="0" applyNumberFormat="1" applyFont="1" applyFill="1" applyBorder="1" applyAlignment="1" applyProtection="1">
      <alignment horizontal="center" vertical="center"/>
      <protection hidden="1" locked="0"/>
    </xf>
    <xf numFmtId="49" fontId="7" fillId="35" borderId="88" xfId="0" applyNumberFormat="1" applyFont="1" applyFill="1" applyBorder="1" applyAlignment="1" applyProtection="1">
      <alignment horizontal="center" wrapText="1"/>
      <protection hidden="1"/>
    </xf>
    <xf numFmtId="49" fontId="7" fillId="35" borderId="20" xfId="0" applyNumberFormat="1" applyFont="1" applyFill="1" applyBorder="1" applyAlignment="1" applyProtection="1">
      <alignment horizontal="center" wrapText="1"/>
      <protection hidden="1"/>
    </xf>
    <xf numFmtId="165" fontId="4" fillId="0" borderId="7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90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91" xfId="0" applyNumberFormat="1" applyFont="1" applyFill="1" applyBorder="1" applyAlignment="1" applyProtection="1">
      <alignment horizontal="center" vertical="top" wrapText="1"/>
      <protection hidden="1" locked="0"/>
    </xf>
    <xf numFmtId="49" fontId="7" fillId="35" borderId="69" xfId="0" applyNumberFormat="1" applyFont="1" applyFill="1" applyBorder="1" applyAlignment="1" applyProtection="1">
      <alignment horizontal="center" wrapText="1"/>
      <protection hidden="1"/>
    </xf>
    <xf numFmtId="49" fontId="7" fillId="35" borderId="92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3" xfId="0" applyNumberFormat="1" applyFont="1" applyFill="1" applyBorder="1" applyAlignment="1" applyProtection="1">
      <alignment horizontal="center" vertical="top" wrapText="1"/>
      <protection hidden="1" locked="0"/>
    </xf>
    <xf numFmtId="0" fontId="18" fillId="33" borderId="69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33" borderId="74" xfId="48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67" xfId="0" applyFont="1" applyFill="1" applyBorder="1" applyAlignment="1" applyProtection="1">
      <alignment horizontal="center" vertical="center" textRotation="90" wrapText="1"/>
      <protection locked="0"/>
    </xf>
    <xf numFmtId="0" fontId="19" fillId="0" borderId="93" xfId="0" applyFont="1" applyFill="1" applyBorder="1" applyAlignment="1" applyProtection="1">
      <alignment horizontal="center" vertical="center" textRotation="90" wrapText="1"/>
      <protection locked="0"/>
    </xf>
    <xf numFmtId="0" fontId="19" fillId="0" borderId="68" xfId="0" applyFont="1" applyFill="1" applyBorder="1" applyAlignment="1" applyProtection="1">
      <alignment horizontal="center" vertical="center" textRotation="90" wrapText="1"/>
      <protection locked="0"/>
    </xf>
    <xf numFmtId="44" fontId="22" fillId="0" borderId="35" xfId="39" applyFont="1" applyBorder="1" applyAlignment="1" applyProtection="1">
      <alignment vertical="center" wrapText="1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56" xfId="0" applyFont="1" applyBorder="1" applyAlignment="1" applyProtection="1">
      <alignment vertical="center" wrapText="1"/>
      <protection locked="0"/>
    </xf>
    <xf numFmtId="0" fontId="22" fillId="0" borderId="59" xfId="0" applyFont="1" applyBorder="1" applyAlignment="1" applyProtection="1">
      <alignment vertical="center" wrapText="1"/>
      <protection locked="0"/>
    </xf>
    <xf numFmtId="0" fontId="22" fillId="0" borderId="35" xfId="0" applyFont="1" applyBorder="1" applyAlignment="1" applyProtection="1">
      <alignment vertical="center"/>
      <protection locked="0"/>
    </xf>
    <xf numFmtId="0" fontId="22" fillId="0" borderId="56" xfId="0" applyFont="1" applyBorder="1" applyAlignment="1" applyProtection="1">
      <alignment vertical="center"/>
      <protection locked="0"/>
    </xf>
    <xf numFmtId="0" fontId="22" fillId="0" borderId="59" xfId="0" applyFont="1" applyBorder="1" applyAlignment="1" applyProtection="1">
      <alignment vertical="center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56" xfId="0" applyFont="1" applyBorder="1" applyAlignment="1" applyProtection="1">
      <alignment horizontal="center" vertical="center" wrapText="1"/>
      <protection locked="0"/>
    </xf>
    <xf numFmtId="0" fontId="22" fillId="0" borderId="59" xfId="0" applyFont="1" applyBorder="1" applyAlignment="1" applyProtection="1">
      <alignment horizontal="center" vertical="center" wrapText="1"/>
      <protection locked="0"/>
    </xf>
    <xf numFmtId="0" fontId="22" fillId="37" borderId="35" xfId="0" applyFont="1" applyFill="1" applyBorder="1" applyAlignment="1" applyProtection="1">
      <alignment vertical="center" wrapText="1"/>
      <protection locked="0"/>
    </xf>
    <xf numFmtId="0" fontId="22" fillId="37" borderId="56" xfId="0" applyFont="1" applyFill="1" applyBorder="1" applyAlignment="1" applyProtection="1">
      <alignment vertical="center" wrapText="1"/>
      <protection locked="0"/>
    </xf>
    <xf numFmtId="0" fontId="22" fillId="37" borderId="59" xfId="0" applyFont="1" applyFill="1" applyBorder="1" applyAlignment="1" applyProtection="1">
      <alignment vertical="center" wrapText="1"/>
      <protection locked="0"/>
    </xf>
    <xf numFmtId="0" fontId="22" fillId="32" borderId="36" xfId="0" applyFont="1" applyFill="1" applyBorder="1" applyAlignment="1">
      <alignment horizontal="center"/>
    </xf>
    <xf numFmtId="0" fontId="22" fillId="32" borderId="94" xfId="0" applyFont="1" applyFill="1" applyBorder="1" applyAlignment="1">
      <alignment horizontal="center"/>
    </xf>
    <xf numFmtId="0" fontId="22" fillId="32" borderId="95" xfId="0" applyFont="1" applyFill="1" applyBorder="1" applyAlignment="1">
      <alignment horizontal="center"/>
    </xf>
    <xf numFmtId="0" fontId="23" fillId="32" borderId="34" xfId="0" applyFont="1" applyFill="1" applyBorder="1" applyAlignment="1">
      <alignment horizontal="center"/>
    </xf>
    <xf numFmtId="0" fontId="22" fillId="4" borderId="96" xfId="0" applyFont="1" applyFill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37" borderId="36" xfId="0" applyFont="1" applyFill="1" applyBorder="1" applyAlignment="1">
      <alignment horizontal="center" vertical="center"/>
    </xf>
    <xf numFmtId="0" fontId="22" fillId="37" borderId="94" xfId="0" applyFont="1" applyFill="1" applyBorder="1" applyAlignment="1">
      <alignment horizontal="center" vertical="center"/>
    </xf>
    <xf numFmtId="0" fontId="22" fillId="37" borderId="95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7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70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3" fontId="3" fillId="0" borderId="70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34" xfId="0" applyFont="1" applyBorder="1" applyAlignment="1">
      <alignment/>
    </xf>
    <xf numFmtId="0" fontId="22" fillId="32" borderId="34" xfId="0" applyFont="1" applyFill="1" applyBorder="1" applyAlignment="1">
      <alignment horizontal="center"/>
    </xf>
    <xf numFmtId="3" fontId="23" fillId="4" borderId="58" xfId="0" applyNumberFormat="1" applyFont="1" applyFill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wrapText="1"/>
    </xf>
    <xf numFmtId="0" fontId="22" fillId="4" borderId="58" xfId="0" applyFont="1" applyFill="1" applyBorder="1" applyAlignment="1">
      <alignment horizontal="center" wrapText="1"/>
    </xf>
    <xf numFmtId="0" fontId="22" fillId="4" borderId="99" xfId="0" applyFont="1" applyFill="1" applyBorder="1" applyAlignment="1">
      <alignment horizontal="center" wrapText="1"/>
    </xf>
    <xf numFmtId="172" fontId="22" fillId="4" borderId="58" xfId="0" applyNumberFormat="1" applyFont="1" applyFill="1" applyBorder="1" applyAlignment="1">
      <alignment horizontal="center" vertical="center"/>
    </xf>
    <xf numFmtId="172" fontId="22" fillId="0" borderId="99" xfId="0" applyNumberFormat="1" applyFont="1" applyBorder="1" applyAlignment="1">
      <alignment horizontal="center" vertical="center"/>
    </xf>
    <xf numFmtId="0" fontId="22" fillId="4" borderId="58" xfId="0" applyFont="1" applyFill="1" applyBorder="1" applyAlignment="1">
      <alignment horizontal="center" vertical="center" wrapText="1"/>
    </xf>
    <xf numFmtId="3" fontId="25" fillId="4" borderId="36" xfId="0" applyNumberFormat="1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22" fillId="0" borderId="50" xfId="0" applyFont="1" applyBorder="1" applyAlignment="1">
      <alignment/>
    </xf>
    <xf numFmtId="0" fontId="0" fillId="0" borderId="100" xfId="0" applyBorder="1" applyAlignment="1">
      <alignment/>
    </xf>
    <xf numFmtId="0" fontId="22" fillId="0" borderId="101" xfId="0" applyFont="1" applyBorder="1" applyAlignment="1">
      <alignment/>
    </xf>
    <xf numFmtId="0" fontId="0" fillId="0" borderId="101" xfId="0" applyBorder="1" applyAlignment="1">
      <alignment/>
    </xf>
    <xf numFmtId="0" fontId="22" fillId="0" borderId="35" xfId="0" applyFont="1" applyBorder="1" applyAlignment="1">
      <alignment vertical="center" wrapText="1"/>
    </xf>
    <xf numFmtId="0" fontId="22" fillId="0" borderId="56" xfId="0" applyFont="1" applyBorder="1" applyAlignment="1">
      <alignment vertical="center" wrapText="1"/>
    </xf>
    <xf numFmtId="0" fontId="22" fillId="0" borderId="59" xfId="0" applyFont="1" applyBorder="1" applyAlignment="1">
      <alignment vertical="center" wrapText="1"/>
    </xf>
    <xf numFmtId="44" fontId="22" fillId="0" borderId="102" xfId="4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22" fillId="0" borderId="102" xfId="0" applyFont="1" applyBorder="1" applyAlignment="1">
      <alignment vertical="center" wrapText="1"/>
    </xf>
    <xf numFmtId="0" fontId="0" fillId="0" borderId="10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22" fillId="0" borderId="52" xfId="0" applyFont="1" applyBorder="1" applyAlignment="1">
      <alignment/>
    </xf>
    <xf numFmtId="0" fontId="0" fillId="0" borderId="109" xfId="0" applyBorder="1" applyAlignment="1">
      <alignment/>
    </xf>
    <xf numFmtId="0" fontId="22" fillId="0" borderId="94" xfId="0" applyFont="1" applyBorder="1" applyAlignment="1">
      <alignment/>
    </xf>
    <xf numFmtId="0" fontId="0" fillId="0" borderId="94" xfId="0" applyBorder="1" applyAlignment="1">
      <alignment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70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2" fillId="0" borderId="110" xfId="0" applyFont="1" applyBorder="1" applyAlignment="1">
      <alignment/>
    </xf>
    <xf numFmtId="0" fontId="0" fillId="0" borderId="111" xfId="0" applyBorder="1" applyAlignment="1">
      <alignment/>
    </xf>
    <xf numFmtId="0" fontId="22" fillId="0" borderId="112" xfId="0" applyFont="1" applyBorder="1" applyAlignment="1">
      <alignment/>
    </xf>
    <xf numFmtId="0" fontId="0" fillId="0" borderId="112" xfId="0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/>
    </xf>
    <xf numFmtId="49" fontId="23" fillId="4" borderId="19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175" fontId="22" fillId="0" borderId="48" xfId="0" applyNumberFormat="1" applyFont="1" applyBorder="1" applyAlignment="1">
      <alignment horizontal="center"/>
    </xf>
    <xf numFmtId="175" fontId="22" fillId="0" borderId="49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175" fontId="22" fillId="0" borderId="46" xfId="0" applyNumberFormat="1" applyFont="1" applyBorder="1" applyAlignment="1">
      <alignment horizontal="center"/>
    </xf>
    <xf numFmtId="0" fontId="22" fillId="4" borderId="65" xfId="0" applyFont="1" applyFill="1" applyBorder="1" applyAlignment="1">
      <alignment horizontal="center" vertical="center"/>
    </xf>
    <xf numFmtId="0" fontId="22" fillId="0" borderId="113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3" fontId="23" fillId="4" borderId="58" xfId="0" applyNumberFormat="1" applyFont="1" applyFill="1" applyBorder="1" applyAlignment="1">
      <alignment horizontal="center" vertical="center" wrapText="1"/>
    </xf>
    <xf numFmtId="44" fontId="22" fillId="0" borderId="10" xfId="39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28" fillId="37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22" fillId="4" borderId="58" xfId="0" applyFont="1" applyFill="1" applyBorder="1" applyAlignment="1">
      <alignment horizontal="center" wrapText="1"/>
    </xf>
    <xf numFmtId="0" fontId="22" fillId="0" borderId="10" xfId="0" applyFont="1" applyBorder="1" applyAlignment="1" applyProtection="1">
      <alignment vertic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2 Návrh Záv.vyúčtová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licnarovaT\AppData\Local\Microsoft\Windows\Temporary%20Internet%20Files\Content.Outlook\75NHUWBZ\P&#345;&#237;loha%20&#269;.%2015%20P&#345;&#237;loha%20k%20monitorovac&#237;%20zpr&#225;v&#283;%20a%20hl&#225;&#353;en&#237;%20o%20pokro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a"/>
      <sheetName val="Přehled smluv a faktur"/>
      <sheetName val="Rozúčtování na řádky"/>
      <sheetName val="Závěrečné vyhodnocení"/>
      <sheetName val="číselníky"/>
    </sheetNames>
    <sheetDataSet>
      <sheetData sheetId="4">
        <row r="1">
          <cell r="A1">
            <v>5010</v>
          </cell>
          <cell r="B1">
            <v>6010</v>
          </cell>
          <cell r="C1" t="str">
            <v>A</v>
          </cell>
        </row>
        <row r="2">
          <cell r="A2">
            <v>5011</v>
          </cell>
          <cell r="B2">
            <v>6011</v>
          </cell>
          <cell r="C2" t="str">
            <v>N</v>
          </cell>
        </row>
        <row r="3">
          <cell r="A3">
            <v>5012</v>
          </cell>
          <cell r="B3">
            <v>6012</v>
          </cell>
        </row>
        <row r="4">
          <cell r="A4">
            <v>5014</v>
          </cell>
          <cell r="B4">
            <v>6013</v>
          </cell>
        </row>
        <row r="5">
          <cell r="A5">
            <v>5019</v>
          </cell>
          <cell r="B5">
            <v>6014</v>
          </cell>
        </row>
        <row r="6">
          <cell r="A6">
            <v>5030</v>
          </cell>
          <cell r="B6">
            <v>6019</v>
          </cell>
        </row>
        <row r="7">
          <cell r="A7">
            <v>5031</v>
          </cell>
          <cell r="B7">
            <v>6090</v>
          </cell>
        </row>
        <row r="8">
          <cell r="A8">
            <v>5032</v>
          </cell>
          <cell r="B8">
            <v>6091</v>
          </cell>
        </row>
        <row r="9">
          <cell r="A9">
            <v>5039</v>
          </cell>
          <cell r="B9">
            <v>6092</v>
          </cell>
        </row>
        <row r="10">
          <cell r="A10">
            <v>5050</v>
          </cell>
          <cell r="B10">
            <v>6093</v>
          </cell>
        </row>
        <row r="11">
          <cell r="A11">
            <v>5051</v>
          </cell>
          <cell r="B11">
            <v>6094</v>
          </cell>
        </row>
        <row r="12">
          <cell r="A12">
            <v>5052</v>
          </cell>
          <cell r="B12">
            <v>6095</v>
          </cell>
        </row>
        <row r="13">
          <cell r="A13">
            <v>5053</v>
          </cell>
          <cell r="B13">
            <v>6096</v>
          </cell>
        </row>
        <row r="14">
          <cell r="A14">
            <v>5054</v>
          </cell>
          <cell r="B14">
            <v>6097</v>
          </cell>
        </row>
        <row r="15">
          <cell r="A15">
            <v>5055</v>
          </cell>
          <cell r="B15">
            <v>6099</v>
          </cell>
        </row>
        <row r="16">
          <cell r="A16">
            <v>5056</v>
          </cell>
          <cell r="B16">
            <v>6110</v>
          </cell>
        </row>
        <row r="17">
          <cell r="A17">
            <v>5057</v>
          </cell>
          <cell r="B17">
            <v>6111</v>
          </cell>
        </row>
        <row r="18">
          <cell r="A18">
            <v>5058</v>
          </cell>
          <cell r="B18">
            <v>6112</v>
          </cell>
        </row>
        <row r="19">
          <cell r="A19">
            <v>5070</v>
          </cell>
          <cell r="B19">
            <v>6113</v>
          </cell>
        </row>
        <row r="20">
          <cell r="A20">
            <v>5071</v>
          </cell>
          <cell r="B20">
            <v>6114</v>
          </cell>
        </row>
        <row r="21">
          <cell r="A21">
            <v>5072</v>
          </cell>
          <cell r="B21">
            <v>6115</v>
          </cell>
        </row>
        <row r="22">
          <cell r="A22">
            <v>5073</v>
          </cell>
          <cell r="B22">
            <v>6116</v>
          </cell>
        </row>
        <row r="23">
          <cell r="A23">
            <v>5074</v>
          </cell>
          <cell r="B23">
            <v>6117</v>
          </cell>
        </row>
        <row r="24">
          <cell r="A24">
            <v>5075</v>
          </cell>
          <cell r="B24">
            <v>6119</v>
          </cell>
        </row>
        <row r="25">
          <cell r="A25">
            <v>5076</v>
          </cell>
          <cell r="B25">
            <v>6130</v>
          </cell>
        </row>
        <row r="26">
          <cell r="A26">
            <v>5077</v>
          </cell>
          <cell r="B26">
            <v>6131</v>
          </cell>
        </row>
        <row r="27">
          <cell r="A27">
            <v>5078</v>
          </cell>
          <cell r="B27">
            <v>6132</v>
          </cell>
        </row>
        <row r="28">
          <cell r="A28">
            <v>5090</v>
          </cell>
          <cell r="B28">
            <v>6133</v>
          </cell>
        </row>
        <row r="29">
          <cell r="A29">
            <v>5091</v>
          </cell>
          <cell r="B29">
            <v>6139</v>
          </cell>
        </row>
        <row r="30">
          <cell r="A30">
            <v>5093</v>
          </cell>
          <cell r="B30">
            <v>6150</v>
          </cell>
        </row>
        <row r="31">
          <cell r="A31">
            <v>5095</v>
          </cell>
          <cell r="B31">
            <v>6151</v>
          </cell>
        </row>
        <row r="32">
          <cell r="A32">
            <v>5099</v>
          </cell>
          <cell r="B32">
            <v>6152</v>
          </cell>
        </row>
        <row r="33">
          <cell r="A33">
            <v>5110</v>
          </cell>
          <cell r="B33">
            <v>6153</v>
          </cell>
        </row>
        <row r="34">
          <cell r="A34">
            <v>5111</v>
          </cell>
          <cell r="B34">
            <v>6154</v>
          </cell>
        </row>
        <row r="35">
          <cell r="A35">
            <v>5112</v>
          </cell>
          <cell r="B35">
            <v>6155</v>
          </cell>
        </row>
        <row r="36">
          <cell r="A36">
            <v>5113</v>
          </cell>
          <cell r="B36">
            <v>6156</v>
          </cell>
        </row>
        <row r="37">
          <cell r="A37">
            <v>5114</v>
          </cell>
          <cell r="B37">
            <v>6157</v>
          </cell>
        </row>
        <row r="38">
          <cell r="A38">
            <v>5115</v>
          </cell>
          <cell r="B38">
            <v>6159</v>
          </cell>
        </row>
        <row r="39">
          <cell r="A39">
            <v>5116</v>
          </cell>
          <cell r="B39">
            <v>6170</v>
          </cell>
        </row>
        <row r="40">
          <cell r="A40">
            <v>5117</v>
          </cell>
          <cell r="B40">
            <v>6171</v>
          </cell>
        </row>
        <row r="41">
          <cell r="A41">
            <v>5119</v>
          </cell>
          <cell r="B41">
            <v>6172</v>
          </cell>
        </row>
        <row r="42">
          <cell r="A42">
            <v>5130</v>
          </cell>
          <cell r="B42">
            <v>6179</v>
          </cell>
        </row>
        <row r="43">
          <cell r="A43">
            <v>5131</v>
          </cell>
        </row>
        <row r="44">
          <cell r="A44">
            <v>5132</v>
          </cell>
        </row>
        <row r="45">
          <cell r="A45">
            <v>5133</v>
          </cell>
        </row>
        <row r="46">
          <cell r="A46">
            <v>5139</v>
          </cell>
        </row>
        <row r="47">
          <cell r="A47">
            <v>5154</v>
          </cell>
        </row>
        <row r="48">
          <cell r="A48">
            <v>5155</v>
          </cell>
        </row>
        <row r="49">
          <cell r="A49">
            <v>5156</v>
          </cell>
        </row>
        <row r="50">
          <cell r="A50">
            <v>5157</v>
          </cell>
        </row>
        <row r="51">
          <cell r="A51">
            <v>5159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381" t="s">
        <v>77</v>
      </c>
      <c r="B5" s="382"/>
      <c r="C5" s="382"/>
      <c r="D5" s="383"/>
      <c r="E5" s="56"/>
      <c r="F5" s="381" t="s">
        <v>30</v>
      </c>
      <c r="G5" s="382"/>
      <c r="H5" s="383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153" t="s">
        <v>40</v>
      </c>
    </row>
    <row r="6" spans="1:26" ht="14.25">
      <c r="A6" s="381" t="s">
        <v>28</v>
      </c>
      <c r="B6" s="382"/>
      <c r="C6" s="382"/>
      <c r="D6" s="383"/>
      <c r="E6" s="56"/>
      <c r="F6" s="384" t="s">
        <v>31</v>
      </c>
      <c r="G6" s="384"/>
      <c r="H6" s="384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22"/>
    </row>
    <row r="7" spans="1:26" ht="14.25">
      <c r="A7" s="381" t="s">
        <v>29</v>
      </c>
      <c r="B7" s="382"/>
      <c r="C7" s="382"/>
      <c r="D7" s="383"/>
      <c r="E7" s="56"/>
      <c r="F7" s="384" t="s">
        <v>32</v>
      </c>
      <c r="G7" s="384"/>
      <c r="H7" s="384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398" t="s">
        <v>53</v>
      </c>
      <c r="C10" s="399"/>
      <c r="D10" s="399"/>
      <c r="E10" s="399"/>
      <c r="F10" s="399"/>
      <c r="G10" s="399"/>
      <c r="H10" s="399"/>
      <c r="I10" s="399"/>
      <c r="J10" s="399"/>
      <c r="K10" s="399"/>
      <c r="L10" s="400"/>
      <c r="M10" s="406" t="s">
        <v>83</v>
      </c>
      <c r="N10" s="407"/>
      <c r="O10" s="408"/>
      <c r="P10" s="67"/>
      <c r="Q10" s="67"/>
      <c r="R10" s="67"/>
      <c r="S10" s="67"/>
      <c r="T10" s="390" t="s">
        <v>54</v>
      </c>
      <c r="U10" s="391"/>
      <c r="V10" s="391"/>
      <c r="W10" s="391"/>
      <c r="X10" s="391"/>
      <c r="Y10" s="392"/>
      <c r="Z10" s="5"/>
    </row>
    <row r="11" spans="1:26" ht="12.75" customHeight="1">
      <c r="A11" s="366"/>
      <c r="B11" s="364" t="s">
        <v>15</v>
      </c>
      <c r="C11" s="377" t="s">
        <v>1</v>
      </c>
      <c r="D11" s="378" t="s">
        <v>0</v>
      </c>
      <c r="E11" s="379"/>
      <c r="F11" s="376" t="s">
        <v>19</v>
      </c>
      <c r="G11" s="376" t="s">
        <v>18</v>
      </c>
      <c r="H11" s="401" t="s">
        <v>39</v>
      </c>
      <c r="I11" s="385" t="s">
        <v>20</v>
      </c>
      <c r="J11" s="490" t="s">
        <v>74</v>
      </c>
      <c r="K11" s="396" t="s">
        <v>21</v>
      </c>
      <c r="L11" s="385" t="s">
        <v>9</v>
      </c>
      <c r="M11" s="393" t="s">
        <v>2</v>
      </c>
      <c r="N11" s="394"/>
      <c r="O11" s="395"/>
      <c r="P11" s="68"/>
      <c r="Q11" s="68"/>
      <c r="R11" s="68"/>
      <c r="S11" s="68"/>
      <c r="T11" s="387" t="s">
        <v>13</v>
      </c>
      <c r="U11" s="388"/>
      <c r="V11" s="388"/>
      <c r="W11" s="388"/>
      <c r="X11" s="388"/>
      <c r="Y11" s="389"/>
      <c r="Z11" s="5"/>
    </row>
    <row r="12" spans="1:26" ht="51.75" customHeight="1" thickBot="1">
      <c r="A12" s="367"/>
      <c r="B12" s="365"/>
      <c r="C12" s="380"/>
      <c r="D12" s="70"/>
      <c r="E12" s="69" t="s">
        <v>17</v>
      </c>
      <c r="F12" s="377"/>
      <c r="G12" s="377"/>
      <c r="H12" s="402"/>
      <c r="I12" s="386"/>
      <c r="J12" s="491"/>
      <c r="K12" s="397"/>
      <c r="L12" s="386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368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369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369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369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369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369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369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370"/>
      <c r="B20" s="362" t="s">
        <v>65</v>
      </c>
      <c r="C20" s="363"/>
      <c r="D20" s="363"/>
      <c r="E20" s="363"/>
      <c r="F20" s="363"/>
      <c r="G20" s="363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371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372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372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372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372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372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372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373"/>
      <c r="B28" s="362" t="s">
        <v>66</v>
      </c>
      <c r="C28" s="363"/>
      <c r="D28" s="363"/>
      <c r="E28" s="363"/>
      <c r="F28" s="363"/>
      <c r="G28" s="363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371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372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372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372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372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372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372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373"/>
      <c r="B36" s="444" t="s">
        <v>67</v>
      </c>
      <c r="C36" s="445"/>
      <c r="D36" s="445"/>
      <c r="E36" s="445"/>
      <c r="F36" s="445"/>
      <c r="G36" s="445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59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374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374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374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374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374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374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375"/>
      <c r="B44" s="444" t="s">
        <v>68</v>
      </c>
      <c r="C44" s="445"/>
      <c r="D44" s="445"/>
      <c r="E44" s="445"/>
      <c r="F44" s="445"/>
      <c r="G44" s="445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59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60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60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60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60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60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60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61"/>
      <c r="B52" s="362" t="s">
        <v>69</v>
      </c>
      <c r="C52" s="363"/>
      <c r="D52" s="363"/>
      <c r="E52" s="363"/>
      <c r="F52" s="363"/>
      <c r="G52" s="363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59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60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60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60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60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60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60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61"/>
      <c r="B60" s="444" t="s">
        <v>70</v>
      </c>
      <c r="C60" s="445"/>
      <c r="D60" s="445"/>
      <c r="E60" s="445"/>
      <c r="F60" s="445"/>
      <c r="G60" s="445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59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60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60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60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60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60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60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61"/>
      <c r="B68" s="362" t="s">
        <v>71</v>
      </c>
      <c r="C68" s="363"/>
      <c r="D68" s="363"/>
      <c r="E68" s="363"/>
      <c r="F68" s="363"/>
      <c r="G68" s="363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59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60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60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60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60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60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60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61"/>
      <c r="B76" s="444" t="s">
        <v>72</v>
      </c>
      <c r="C76" s="445"/>
      <c r="D76" s="445"/>
      <c r="E76" s="445"/>
      <c r="F76" s="445"/>
      <c r="G76" s="445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492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493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493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493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493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493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494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495"/>
      <c r="B84" s="487" t="s">
        <v>73</v>
      </c>
      <c r="C84" s="488"/>
      <c r="D84" s="488"/>
      <c r="E84" s="488"/>
      <c r="F84" s="488"/>
      <c r="G84" s="488"/>
      <c r="H84" s="489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409"/>
      <c r="B85" s="410"/>
      <c r="C85" s="410"/>
      <c r="D85" s="410"/>
      <c r="E85" s="410"/>
      <c r="F85" s="410"/>
      <c r="G85" s="410"/>
      <c r="H85" s="411"/>
      <c r="I85" s="146" t="s">
        <v>35</v>
      </c>
      <c r="J85" s="146"/>
      <c r="K85" s="146" t="s">
        <v>36</v>
      </c>
      <c r="L85" s="166" t="s">
        <v>37</v>
      </c>
      <c r="M85" s="421" t="s">
        <v>34</v>
      </c>
      <c r="N85" s="421"/>
      <c r="O85" s="422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444" t="s">
        <v>75</v>
      </c>
      <c r="C86" s="445"/>
      <c r="D86" s="445"/>
      <c r="E86" s="445"/>
      <c r="F86" s="445"/>
      <c r="G86" s="445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30" t="s">
        <v>81</v>
      </c>
      <c r="J88" s="431"/>
      <c r="K88" s="432"/>
      <c r="L88" s="432"/>
      <c r="M88" s="432"/>
      <c r="N88" s="433"/>
      <c r="O88" s="424">
        <f>L86+O86</f>
        <v>0</v>
      </c>
      <c r="P88" s="425"/>
      <c r="Q88" s="425"/>
      <c r="R88" s="425"/>
      <c r="S88" s="425"/>
      <c r="T88" s="426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34" t="s">
        <v>82</v>
      </c>
      <c r="J89" s="435"/>
      <c r="K89" s="436"/>
      <c r="L89" s="436"/>
      <c r="M89" s="436"/>
      <c r="N89" s="437"/>
      <c r="O89" s="427">
        <f>I86+M86</f>
        <v>0</v>
      </c>
      <c r="P89" s="428"/>
      <c r="Q89" s="428"/>
      <c r="R89" s="428"/>
      <c r="S89" s="428"/>
      <c r="T89" s="429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461" t="s">
        <v>42</v>
      </c>
      <c r="P91" s="462"/>
      <c r="Q91" s="462"/>
      <c r="R91" s="462"/>
      <c r="S91" s="462"/>
      <c r="T91" s="463"/>
      <c r="U91" s="468" t="s">
        <v>43</v>
      </c>
      <c r="V91" s="469"/>
      <c r="W91" s="470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447" t="s">
        <v>79</v>
      </c>
      <c r="J92" s="448"/>
      <c r="K92" s="449"/>
      <c r="L92" s="449"/>
      <c r="M92" s="449"/>
      <c r="N92" s="450"/>
      <c r="O92" s="455">
        <f>P86</f>
        <v>0</v>
      </c>
      <c r="P92" s="456"/>
      <c r="Q92" s="456"/>
      <c r="R92" s="456"/>
      <c r="S92" s="456"/>
      <c r="T92" s="457"/>
      <c r="U92" s="455">
        <f>R86</f>
        <v>0</v>
      </c>
      <c r="V92" s="464"/>
      <c r="W92" s="465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51" t="s">
        <v>80</v>
      </c>
      <c r="J93" s="452"/>
      <c r="K93" s="453"/>
      <c r="L93" s="453"/>
      <c r="M93" s="453"/>
      <c r="N93" s="454"/>
      <c r="O93" s="458">
        <f>Q86</f>
        <v>0</v>
      </c>
      <c r="P93" s="459"/>
      <c r="Q93" s="459"/>
      <c r="R93" s="459"/>
      <c r="S93" s="459"/>
      <c r="T93" s="460"/>
      <c r="U93" s="458">
        <f>S86</f>
        <v>0</v>
      </c>
      <c r="V93" s="466"/>
      <c r="W93" s="467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46" t="s">
        <v>55</v>
      </c>
      <c r="B95" s="446"/>
      <c r="C95" s="446"/>
      <c r="D95" s="446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403" t="s">
        <v>26</v>
      </c>
      <c r="B96" s="403"/>
      <c r="C96" s="403"/>
      <c r="D96" s="403"/>
      <c r="E96" s="403" t="s">
        <v>22</v>
      </c>
      <c r="F96" s="403"/>
      <c r="G96" s="403"/>
      <c r="H96" s="27" t="s">
        <v>23</v>
      </c>
      <c r="I96" s="403" t="s">
        <v>24</v>
      </c>
      <c r="J96" s="403"/>
      <c r="K96" s="403"/>
      <c r="L96" s="403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438"/>
      <c r="B97" s="439"/>
      <c r="C97" s="439"/>
      <c r="D97" s="440"/>
      <c r="E97" s="438"/>
      <c r="F97" s="439"/>
      <c r="G97" s="440"/>
      <c r="H97" s="412"/>
      <c r="I97" s="438"/>
      <c r="J97" s="439"/>
      <c r="K97" s="439"/>
      <c r="L97" s="440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441"/>
      <c r="B98" s="442"/>
      <c r="C98" s="442"/>
      <c r="D98" s="443"/>
      <c r="E98" s="441"/>
      <c r="F98" s="442"/>
      <c r="G98" s="443"/>
      <c r="H98" s="413"/>
      <c r="I98" s="441"/>
      <c r="J98" s="442"/>
      <c r="K98" s="442"/>
      <c r="L98" s="443"/>
      <c r="M98" s="13"/>
      <c r="T98" s="13"/>
      <c r="U98" s="479" t="s">
        <v>49</v>
      </c>
      <c r="V98" s="480"/>
      <c r="W98" s="471" t="s">
        <v>50</v>
      </c>
      <c r="X98" s="472"/>
      <c r="Y98" s="162"/>
      <c r="Z98" s="158" t="s">
        <v>4</v>
      </c>
    </row>
    <row r="99" spans="12:26" ht="12.75">
      <c r="L99" s="7"/>
      <c r="M99" s="10"/>
      <c r="T99" s="155" t="s">
        <v>51</v>
      </c>
      <c r="U99" s="481"/>
      <c r="V99" s="482"/>
      <c r="W99" s="473"/>
      <c r="X99" s="474"/>
      <c r="Y99" s="163"/>
      <c r="Z99" s="159"/>
    </row>
    <row r="100" spans="1:26" ht="12.75">
      <c r="A100" s="415" t="s">
        <v>78</v>
      </c>
      <c r="B100" s="415"/>
      <c r="C100" s="415"/>
      <c r="D100" s="415"/>
      <c r="E100" s="415"/>
      <c r="F100" s="415"/>
      <c r="G100" s="415"/>
      <c r="H100" s="19"/>
      <c r="I100" s="18"/>
      <c r="J100" s="18"/>
      <c r="K100" s="20"/>
      <c r="L100" s="20"/>
      <c r="M100" s="21"/>
      <c r="T100" s="156" t="s">
        <v>48</v>
      </c>
      <c r="U100" s="483"/>
      <c r="V100" s="484"/>
      <c r="W100" s="475"/>
      <c r="X100" s="476"/>
      <c r="Y100" s="163"/>
      <c r="Z100" s="160"/>
    </row>
    <row r="101" spans="1:26" ht="13.5" thickBot="1">
      <c r="A101" s="403" t="s">
        <v>25</v>
      </c>
      <c r="B101" s="403"/>
      <c r="C101" s="403"/>
      <c r="D101" s="403"/>
      <c r="E101" s="403"/>
      <c r="F101" s="403"/>
      <c r="G101" s="403"/>
      <c r="H101" s="41" t="s">
        <v>23</v>
      </c>
      <c r="I101" s="416" t="s">
        <v>24</v>
      </c>
      <c r="J101" s="416"/>
      <c r="K101" s="416"/>
      <c r="L101" s="416"/>
      <c r="M101" s="21"/>
      <c r="T101" s="157" t="s">
        <v>52</v>
      </c>
      <c r="U101" s="485"/>
      <c r="V101" s="486"/>
      <c r="W101" s="477"/>
      <c r="X101" s="478"/>
      <c r="Y101" s="163"/>
      <c r="Z101" s="161"/>
    </row>
    <row r="102" spans="1:26" ht="12.75">
      <c r="A102" s="404"/>
      <c r="B102" s="404"/>
      <c r="C102" s="404"/>
      <c r="D102" s="404"/>
      <c r="E102" s="404"/>
      <c r="F102" s="404"/>
      <c r="G102" s="404"/>
      <c r="H102" s="412"/>
      <c r="I102" s="416"/>
      <c r="J102" s="416"/>
      <c r="K102" s="416"/>
      <c r="L102" s="416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404"/>
      <c r="B103" s="404"/>
      <c r="C103" s="404"/>
      <c r="D103" s="404"/>
      <c r="E103" s="404"/>
      <c r="F103" s="404"/>
      <c r="G103" s="404"/>
      <c r="H103" s="413"/>
      <c r="I103" s="416"/>
      <c r="J103" s="416"/>
      <c r="K103" s="416"/>
      <c r="L103" s="416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417" t="s">
        <v>27</v>
      </c>
      <c r="B104" s="418"/>
      <c r="C104" s="418"/>
      <c r="D104" s="418"/>
      <c r="E104" s="418"/>
      <c r="F104" s="418"/>
      <c r="G104" s="419"/>
      <c r="H104" s="42" t="s">
        <v>23</v>
      </c>
      <c r="I104" s="420" t="s">
        <v>24</v>
      </c>
      <c r="J104" s="420"/>
      <c r="K104" s="420"/>
      <c r="L104" s="420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404"/>
      <c r="B105" s="404"/>
      <c r="C105" s="404"/>
      <c r="D105" s="404"/>
      <c r="E105" s="404"/>
      <c r="F105" s="404"/>
      <c r="G105" s="404"/>
      <c r="H105" s="412"/>
      <c r="I105" s="414"/>
      <c r="J105" s="414"/>
      <c r="K105" s="414"/>
      <c r="L105" s="414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404"/>
      <c r="B106" s="404"/>
      <c r="C106" s="404"/>
      <c r="D106" s="404"/>
      <c r="E106" s="404"/>
      <c r="F106" s="404"/>
      <c r="G106" s="404"/>
      <c r="H106" s="413"/>
      <c r="I106" s="414"/>
      <c r="J106" s="414"/>
      <c r="K106" s="414"/>
      <c r="L106" s="414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  <mergeCell ref="W98:X98"/>
    <mergeCell ref="W99:X99"/>
    <mergeCell ref="W100:X100"/>
    <mergeCell ref="W101:X101"/>
    <mergeCell ref="U98:V98"/>
    <mergeCell ref="U99:V99"/>
    <mergeCell ref="U100:V100"/>
    <mergeCell ref="U101:V101"/>
    <mergeCell ref="I93:N93"/>
    <mergeCell ref="O92:T92"/>
    <mergeCell ref="O93:T93"/>
    <mergeCell ref="O91:T91"/>
    <mergeCell ref="U92:W92"/>
    <mergeCell ref="U93:W93"/>
    <mergeCell ref="U91:W91"/>
    <mergeCell ref="H97:H98"/>
    <mergeCell ref="I97:L98"/>
    <mergeCell ref="A97:D98"/>
    <mergeCell ref="E97:G98"/>
    <mergeCell ref="B86:G86"/>
    <mergeCell ref="A95:D95"/>
    <mergeCell ref="A96:D96"/>
    <mergeCell ref="E96:G96"/>
    <mergeCell ref="I96:L96"/>
    <mergeCell ref="I92:N92"/>
    <mergeCell ref="M85:O85"/>
    <mergeCell ref="K87:T87"/>
    <mergeCell ref="O88:T88"/>
    <mergeCell ref="O89:T89"/>
    <mergeCell ref="I88:N88"/>
    <mergeCell ref="I89:N89"/>
    <mergeCell ref="A85:H85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A101:G101"/>
    <mergeCell ref="A102:G103"/>
    <mergeCell ref="I5:Y5"/>
    <mergeCell ref="I6:Y6"/>
    <mergeCell ref="A5:D5"/>
    <mergeCell ref="A6:D6"/>
    <mergeCell ref="F5:H5"/>
    <mergeCell ref="F6:H6"/>
    <mergeCell ref="I7:Y7"/>
    <mergeCell ref="M10:O10"/>
    <mergeCell ref="L11:L12"/>
    <mergeCell ref="T11:Y11"/>
    <mergeCell ref="T10:Y10"/>
    <mergeCell ref="M11:O11"/>
    <mergeCell ref="I11:I12"/>
    <mergeCell ref="K11:K12"/>
    <mergeCell ref="B10:L10"/>
    <mergeCell ref="H11:H12"/>
    <mergeCell ref="D11:E11"/>
    <mergeCell ref="B20:G20"/>
    <mergeCell ref="G11:G12"/>
    <mergeCell ref="C11:C12"/>
    <mergeCell ref="A45:A52"/>
    <mergeCell ref="A7:D7"/>
    <mergeCell ref="F7:H7"/>
    <mergeCell ref="A53:A60"/>
    <mergeCell ref="B28:G28"/>
    <mergeCell ref="B11:B12"/>
    <mergeCell ref="A11:A12"/>
    <mergeCell ref="A13:A20"/>
    <mergeCell ref="A29:A36"/>
    <mergeCell ref="B52:G52"/>
    <mergeCell ref="A21:A28"/>
    <mergeCell ref="A37:A44"/>
    <mergeCell ref="F11:F12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3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tabSelected="1" zoomScalePageLayoutView="0" workbookViewId="0" topLeftCell="A1">
      <pane ySplit="10" topLeftCell="A14" activePane="bottomLeft" state="frozen"/>
      <selection pane="topLeft" activeCell="M65" sqref="M65"/>
      <selection pane="bottomLeft" activeCell="D17" sqref="D17"/>
    </sheetView>
  </sheetViews>
  <sheetFormatPr defaultColWidth="9.140625" defaultRowHeight="12.75"/>
  <cols>
    <col min="1" max="1" width="4.7109375" style="181" customWidth="1"/>
    <col min="2" max="2" width="8.28125" style="181" customWidth="1"/>
    <col min="3" max="3" width="15.421875" style="181" customWidth="1"/>
    <col min="4" max="4" width="17.7109375" style="181" customWidth="1"/>
    <col min="5" max="5" width="14.57421875" style="181" customWidth="1"/>
    <col min="6" max="6" width="9.00390625" style="268" customWidth="1"/>
    <col min="7" max="7" width="6.421875" style="181" customWidth="1"/>
    <col min="8" max="8" width="6.140625" style="181" customWidth="1"/>
    <col min="9" max="9" width="9.28125" style="188" customWidth="1"/>
    <col min="10" max="10" width="14.57421875" style="181" customWidth="1"/>
    <col min="11" max="12" width="11.7109375" style="181" customWidth="1"/>
    <col min="13" max="14" width="8.57421875" style="181" customWidth="1"/>
    <col min="15" max="18" width="12.7109375" style="181" customWidth="1"/>
    <col min="19" max="19" width="12.421875" style="181" customWidth="1"/>
    <col min="20" max="21" width="11.7109375" style="181" customWidth="1"/>
    <col min="22" max="25" width="9.140625" style="181" customWidth="1"/>
    <col min="26" max="26" width="10.140625" style="181" customWidth="1"/>
    <col min="27" max="27" width="9.140625" style="181" customWidth="1"/>
    <col min="28" max="28" width="10.140625" style="181" customWidth="1"/>
    <col min="29" max="16384" width="9.140625" style="181" customWidth="1"/>
  </cols>
  <sheetData>
    <row r="1" spans="1:21" ht="14.25">
      <c r="A1" s="522" t="s">
        <v>77</v>
      </c>
      <c r="B1" s="523"/>
      <c r="C1" s="523"/>
      <c r="D1" s="519"/>
      <c r="E1" s="520"/>
      <c r="F1" s="520"/>
      <c r="G1" s="520"/>
      <c r="H1" s="521"/>
      <c r="I1" s="522" t="s">
        <v>30</v>
      </c>
      <c r="J1" s="523"/>
      <c r="K1" s="524"/>
      <c r="L1" s="525"/>
      <c r="M1" s="526"/>
      <c r="N1" s="526"/>
      <c r="O1" s="526"/>
      <c r="P1" s="526"/>
      <c r="Q1" s="526"/>
      <c r="R1" s="526"/>
      <c r="S1" s="527"/>
      <c r="T1" s="276"/>
      <c r="U1" s="276"/>
    </row>
    <row r="2" spans="1:21" ht="12.75">
      <c r="A2" s="522" t="s">
        <v>28</v>
      </c>
      <c r="B2" s="523"/>
      <c r="C2" s="523"/>
      <c r="D2" s="519"/>
      <c r="E2" s="520"/>
      <c r="F2" s="520"/>
      <c r="G2" s="520"/>
      <c r="H2" s="521"/>
      <c r="I2" s="522" t="s">
        <v>31</v>
      </c>
      <c r="J2" s="523"/>
      <c r="K2" s="524"/>
      <c r="L2" s="532"/>
      <c r="M2" s="532"/>
      <c r="N2" s="532"/>
      <c r="O2" s="532"/>
      <c r="P2" s="532"/>
      <c r="Q2" s="532"/>
      <c r="R2" s="532"/>
      <c r="S2" s="532"/>
      <c r="T2" s="276"/>
      <c r="U2" s="276"/>
    </row>
    <row r="3" spans="1:21" ht="14.25">
      <c r="A3" s="522" t="s">
        <v>29</v>
      </c>
      <c r="B3" s="523"/>
      <c r="C3" s="523"/>
      <c r="D3" s="519"/>
      <c r="E3" s="520"/>
      <c r="F3" s="520"/>
      <c r="G3" s="520"/>
      <c r="H3" s="521"/>
      <c r="I3" s="522" t="s">
        <v>32</v>
      </c>
      <c r="J3" s="523"/>
      <c r="K3" s="524"/>
      <c r="L3" s="525"/>
      <c r="M3" s="526"/>
      <c r="N3" s="526"/>
      <c r="O3" s="526"/>
      <c r="P3" s="526"/>
      <c r="Q3" s="526"/>
      <c r="R3" s="526"/>
      <c r="S3" s="527"/>
      <c r="T3" s="276"/>
      <c r="U3" s="276"/>
    </row>
    <row r="4" ht="9.75"/>
    <row r="5" spans="2:6" ht="12" customHeight="1">
      <c r="B5" s="528" t="s">
        <v>254</v>
      </c>
      <c r="C5" s="529"/>
      <c r="D5" s="327" t="s">
        <v>4</v>
      </c>
      <c r="E5" s="327" t="s">
        <v>12</v>
      </c>
      <c r="F5" s="181"/>
    </row>
    <row r="6" spans="2:6" ht="12" customHeight="1">
      <c r="B6" s="530"/>
      <c r="C6" s="531"/>
      <c r="D6" s="343">
        <v>85</v>
      </c>
      <c r="E6" s="343">
        <f>100-D6</f>
        <v>15</v>
      </c>
      <c r="F6" s="181"/>
    </row>
    <row r="7" ht="12" customHeight="1"/>
    <row r="8" ht="9.75"/>
    <row r="9" spans="1:24" ht="13.5" customHeight="1">
      <c r="A9" s="537" t="s">
        <v>239</v>
      </c>
      <c r="B9" s="538" t="s">
        <v>253</v>
      </c>
      <c r="C9" s="279" t="s">
        <v>204</v>
      </c>
      <c r="D9" s="179"/>
      <c r="E9" s="278"/>
      <c r="F9" s="540" t="s">
        <v>84</v>
      </c>
      <c r="G9" s="180" t="s">
        <v>85</v>
      </c>
      <c r="H9" s="180" t="s">
        <v>85</v>
      </c>
      <c r="I9" s="542" t="s">
        <v>86</v>
      </c>
      <c r="J9" s="535" t="s">
        <v>87</v>
      </c>
      <c r="K9" s="535" t="s">
        <v>88</v>
      </c>
      <c r="L9" s="535" t="s">
        <v>89</v>
      </c>
      <c r="M9" s="535" t="s">
        <v>18</v>
      </c>
      <c r="N9" s="535" t="s">
        <v>235</v>
      </c>
      <c r="O9" s="513" t="s">
        <v>240</v>
      </c>
      <c r="P9" s="514"/>
      <c r="Q9" s="515"/>
      <c r="U9" s="181" t="s">
        <v>241</v>
      </c>
      <c r="V9" s="181" t="s">
        <v>242</v>
      </c>
      <c r="W9" s="181" t="s">
        <v>243</v>
      </c>
      <c r="X9" s="181" t="s">
        <v>244</v>
      </c>
    </row>
    <row r="10" spans="1:17" ht="17.25" customHeight="1">
      <c r="A10" s="537"/>
      <c r="B10" s="539"/>
      <c r="C10" s="280" t="s">
        <v>91</v>
      </c>
      <c r="D10" s="180" t="s">
        <v>92</v>
      </c>
      <c r="E10" s="180" t="s">
        <v>93</v>
      </c>
      <c r="F10" s="541"/>
      <c r="G10" s="182" t="s">
        <v>94</v>
      </c>
      <c r="H10" s="182" t="s">
        <v>95</v>
      </c>
      <c r="I10" s="536"/>
      <c r="J10" s="536"/>
      <c r="K10" s="536"/>
      <c r="L10" s="536"/>
      <c r="M10" s="536"/>
      <c r="N10" s="536"/>
      <c r="O10" s="183" t="s">
        <v>255</v>
      </c>
      <c r="P10" s="182" t="s">
        <v>97</v>
      </c>
      <c r="Q10" s="184" t="s">
        <v>33</v>
      </c>
    </row>
    <row r="11" spans="1:24" ht="9.75">
      <c r="A11" s="281"/>
      <c r="B11" s="281"/>
      <c r="C11" s="282"/>
      <c r="D11" s="281"/>
      <c r="E11" s="283"/>
      <c r="F11" s="284"/>
      <c r="G11" s="276"/>
      <c r="H11" s="281"/>
      <c r="I11" s="285"/>
      <c r="J11" s="286"/>
      <c r="K11" s="286"/>
      <c r="L11" s="286"/>
      <c r="M11" s="286"/>
      <c r="N11" s="355"/>
      <c r="O11" s="309"/>
      <c r="P11" s="307"/>
      <c r="Q11" s="308">
        <f>IF(O11="",0,O11+P11)</f>
        <v>0</v>
      </c>
      <c r="U11" s="303">
        <f>FLOOR(IF($N11="Ano",IF($H11&lt;&gt;"",$L11+Q11,0),0),1)</f>
        <v>0</v>
      </c>
      <c r="V11" s="303">
        <f>FLOOR(IF($N11="Ne",IF($H11&lt;&gt;"",$L11+Q11,0),0),1)</f>
        <v>0</v>
      </c>
      <c r="W11" s="303">
        <f>FLOOR(IF($N11="Ano",IF($G11&lt;&gt;"",$L11+Q11,0),0),1)</f>
        <v>0</v>
      </c>
      <c r="X11" s="303">
        <f>FLOOR(IF($N11="Ne",IF($G11&lt;&gt;"",$L11+Q11,0),0),1)</f>
        <v>0</v>
      </c>
    </row>
    <row r="12" spans="1:24" ht="11.25" customHeight="1">
      <c r="A12" s="281"/>
      <c r="B12" s="281"/>
      <c r="C12" s="282"/>
      <c r="D12" s="281"/>
      <c r="E12" s="283"/>
      <c r="F12" s="284"/>
      <c r="G12" s="281"/>
      <c r="H12" s="281"/>
      <c r="I12" s="285"/>
      <c r="J12" s="286"/>
      <c r="K12" s="286"/>
      <c r="L12" s="286"/>
      <c r="M12" s="286"/>
      <c r="N12" s="304"/>
      <c r="O12" s="309"/>
      <c r="P12" s="307"/>
      <c r="Q12" s="308">
        <f aca="true" t="shared" si="0" ref="Q12:Q75">IF(O12="",0,O12+P12)</f>
        <v>0</v>
      </c>
      <c r="U12" s="303">
        <f aca="true" t="shared" si="1" ref="U12:U75">FLOOR(IF($N12="Ano",IF($H12&lt;&gt;"",$L12+Q12,0),0),1)</f>
        <v>0</v>
      </c>
      <c r="V12" s="303">
        <f aca="true" t="shared" si="2" ref="V12:V75">FLOOR(IF($N12="Ne",IF($H12&lt;&gt;"",$L12+Q12,0),0),1)</f>
        <v>0</v>
      </c>
      <c r="W12" s="303">
        <f aca="true" t="shared" si="3" ref="W12:W75">FLOOR(IF($N12="Ano",IF($G12&lt;&gt;"",$L12+Q12,0),0),1)</f>
        <v>0</v>
      </c>
      <c r="X12" s="303">
        <f aca="true" t="shared" si="4" ref="X12:X75">FLOOR(IF($N12="Ne",IF($G12&lt;&gt;"",$L12+Q12,0),0),1)</f>
        <v>0</v>
      </c>
    </row>
    <row r="13" spans="1:24" ht="11.25" customHeight="1">
      <c r="A13" s="281"/>
      <c r="B13" s="281"/>
      <c r="C13" s="282"/>
      <c r="D13" s="281"/>
      <c r="E13" s="283"/>
      <c r="F13" s="284"/>
      <c r="G13" s="281"/>
      <c r="H13" s="281"/>
      <c r="I13" s="285"/>
      <c r="J13" s="286"/>
      <c r="K13" s="286"/>
      <c r="L13" s="286"/>
      <c r="M13" s="286"/>
      <c r="N13" s="304"/>
      <c r="O13" s="309"/>
      <c r="P13" s="307"/>
      <c r="Q13" s="308">
        <f t="shared" si="0"/>
        <v>0</v>
      </c>
      <c r="U13" s="303">
        <f t="shared" si="1"/>
        <v>0</v>
      </c>
      <c r="V13" s="303">
        <f t="shared" si="2"/>
        <v>0</v>
      </c>
      <c r="W13" s="303">
        <f t="shared" si="3"/>
        <v>0</v>
      </c>
      <c r="X13" s="303">
        <f t="shared" si="4"/>
        <v>0</v>
      </c>
    </row>
    <row r="14" spans="1:24" ht="11.25" customHeight="1">
      <c r="A14" s="281"/>
      <c r="B14" s="281"/>
      <c r="C14" s="282"/>
      <c r="D14" s="281"/>
      <c r="E14" s="283"/>
      <c r="F14" s="284"/>
      <c r="G14" s="281"/>
      <c r="H14" s="281"/>
      <c r="I14" s="285"/>
      <c r="J14" s="286"/>
      <c r="K14" s="286"/>
      <c r="L14" s="286"/>
      <c r="M14" s="286"/>
      <c r="N14" s="304"/>
      <c r="O14" s="309"/>
      <c r="P14" s="307"/>
      <c r="Q14" s="308">
        <f t="shared" si="0"/>
        <v>0</v>
      </c>
      <c r="U14" s="303">
        <f t="shared" si="1"/>
        <v>0</v>
      </c>
      <c r="V14" s="303">
        <f t="shared" si="2"/>
        <v>0</v>
      </c>
      <c r="W14" s="303">
        <f t="shared" si="3"/>
        <v>0</v>
      </c>
      <c r="X14" s="303">
        <f t="shared" si="4"/>
        <v>0</v>
      </c>
    </row>
    <row r="15" spans="1:24" ht="11.25" customHeight="1">
      <c r="A15" s="281"/>
      <c r="B15" s="281"/>
      <c r="C15" s="282"/>
      <c r="D15" s="281"/>
      <c r="E15" s="283"/>
      <c r="F15" s="284"/>
      <c r="G15" s="281"/>
      <c r="H15" s="281"/>
      <c r="I15" s="285"/>
      <c r="J15" s="286"/>
      <c r="K15" s="286"/>
      <c r="L15" s="286"/>
      <c r="M15" s="286"/>
      <c r="N15" s="304"/>
      <c r="O15" s="309"/>
      <c r="P15" s="307"/>
      <c r="Q15" s="308">
        <f t="shared" si="0"/>
        <v>0</v>
      </c>
      <c r="U15" s="303">
        <f t="shared" si="1"/>
        <v>0</v>
      </c>
      <c r="V15" s="303">
        <f t="shared" si="2"/>
        <v>0</v>
      </c>
      <c r="W15" s="303">
        <f t="shared" si="3"/>
        <v>0</v>
      </c>
      <c r="X15" s="303">
        <f t="shared" si="4"/>
        <v>0</v>
      </c>
    </row>
    <row r="16" spans="1:24" ht="11.25" customHeight="1">
      <c r="A16" s="281"/>
      <c r="B16" s="281"/>
      <c r="C16" s="282"/>
      <c r="D16" s="281"/>
      <c r="E16" s="283"/>
      <c r="F16" s="284"/>
      <c r="G16" s="281"/>
      <c r="H16" s="281"/>
      <c r="I16" s="285"/>
      <c r="J16" s="286"/>
      <c r="K16" s="286"/>
      <c r="L16" s="286"/>
      <c r="M16" s="286"/>
      <c r="N16" s="304"/>
      <c r="O16" s="309"/>
      <c r="P16" s="307"/>
      <c r="Q16" s="308">
        <f t="shared" si="0"/>
        <v>0</v>
      </c>
      <c r="U16" s="303">
        <f t="shared" si="1"/>
        <v>0</v>
      </c>
      <c r="V16" s="303">
        <f t="shared" si="2"/>
        <v>0</v>
      </c>
      <c r="W16" s="303">
        <f t="shared" si="3"/>
        <v>0</v>
      </c>
      <c r="X16" s="303">
        <f t="shared" si="4"/>
        <v>0</v>
      </c>
    </row>
    <row r="17" spans="1:24" ht="11.25" customHeight="1">
      <c r="A17" s="281"/>
      <c r="B17" s="281"/>
      <c r="C17" s="282"/>
      <c r="D17" s="281"/>
      <c r="E17" s="283"/>
      <c r="F17" s="284"/>
      <c r="G17" s="281"/>
      <c r="H17" s="281"/>
      <c r="I17" s="285"/>
      <c r="J17" s="286"/>
      <c r="K17" s="286"/>
      <c r="L17" s="286"/>
      <c r="M17" s="286"/>
      <c r="N17" s="304"/>
      <c r="O17" s="309"/>
      <c r="P17" s="307"/>
      <c r="Q17" s="308">
        <f t="shared" si="0"/>
        <v>0</v>
      </c>
      <c r="U17" s="303">
        <f t="shared" si="1"/>
        <v>0</v>
      </c>
      <c r="V17" s="303">
        <f t="shared" si="2"/>
        <v>0</v>
      </c>
      <c r="W17" s="303">
        <f t="shared" si="3"/>
        <v>0</v>
      </c>
      <c r="X17" s="303">
        <f t="shared" si="4"/>
        <v>0</v>
      </c>
    </row>
    <row r="18" spans="1:24" ht="11.25" customHeight="1">
      <c r="A18" s="281"/>
      <c r="B18" s="281"/>
      <c r="C18" s="282"/>
      <c r="D18" s="281"/>
      <c r="E18" s="283"/>
      <c r="F18" s="284"/>
      <c r="G18" s="281"/>
      <c r="H18" s="281"/>
      <c r="I18" s="285"/>
      <c r="J18" s="286"/>
      <c r="K18" s="286"/>
      <c r="L18" s="286"/>
      <c r="M18" s="286"/>
      <c r="N18" s="304"/>
      <c r="O18" s="309"/>
      <c r="P18" s="307"/>
      <c r="Q18" s="308">
        <f t="shared" si="0"/>
        <v>0</v>
      </c>
      <c r="U18" s="303">
        <f t="shared" si="1"/>
        <v>0</v>
      </c>
      <c r="V18" s="303">
        <f t="shared" si="2"/>
        <v>0</v>
      </c>
      <c r="W18" s="303">
        <f t="shared" si="3"/>
        <v>0</v>
      </c>
      <c r="X18" s="303">
        <f t="shared" si="4"/>
        <v>0</v>
      </c>
    </row>
    <row r="19" spans="1:24" ht="11.25" customHeight="1">
      <c r="A19" s="281"/>
      <c r="B19" s="281"/>
      <c r="C19" s="282"/>
      <c r="D19" s="281"/>
      <c r="E19" s="283"/>
      <c r="F19" s="284"/>
      <c r="G19" s="281"/>
      <c r="H19" s="281"/>
      <c r="I19" s="285"/>
      <c r="J19" s="286"/>
      <c r="K19" s="286"/>
      <c r="L19" s="286"/>
      <c r="M19" s="286"/>
      <c r="N19" s="304"/>
      <c r="O19" s="309"/>
      <c r="P19" s="307"/>
      <c r="Q19" s="308">
        <f t="shared" si="0"/>
        <v>0</v>
      </c>
      <c r="U19" s="303">
        <f t="shared" si="1"/>
        <v>0</v>
      </c>
      <c r="V19" s="303">
        <f t="shared" si="2"/>
        <v>0</v>
      </c>
      <c r="W19" s="303">
        <f t="shared" si="3"/>
        <v>0</v>
      </c>
      <c r="X19" s="303">
        <f t="shared" si="4"/>
        <v>0</v>
      </c>
    </row>
    <row r="20" spans="1:24" ht="11.25" customHeight="1">
      <c r="A20" s="281"/>
      <c r="B20" s="281"/>
      <c r="C20" s="282"/>
      <c r="D20" s="281"/>
      <c r="E20" s="283"/>
      <c r="F20" s="284"/>
      <c r="G20" s="281"/>
      <c r="H20" s="281"/>
      <c r="I20" s="285"/>
      <c r="J20" s="286"/>
      <c r="K20" s="286"/>
      <c r="L20" s="286"/>
      <c r="M20" s="286"/>
      <c r="N20" s="304"/>
      <c r="O20" s="309"/>
      <c r="P20" s="307"/>
      <c r="Q20" s="308">
        <f t="shared" si="0"/>
        <v>0</v>
      </c>
      <c r="U20" s="303">
        <f t="shared" si="1"/>
        <v>0</v>
      </c>
      <c r="V20" s="303">
        <f t="shared" si="2"/>
        <v>0</v>
      </c>
      <c r="W20" s="303">
        <f t="shared" si="3"/>
        <v>0</v>
      </c>
      <c r="X20" s="303">
        <f t="shared" si="4"/>
        <v>0</v>
      </c>
    </row>
    <row r="21" spans="1:24" ht="11.25" customHeight="1">
      <c r="A21" s="281"/>
      <c r="B21" s="281"/>
      <c r="C21" s="282"/>
      <c r="D21" s="281"/>
      <c r="E21" s="283"/>
      <c r="F21" s="284"/>
      <c r="G21" s="281"/>
      <c r="H21" s="281"/>
      <c r="I21" s="285"/>
      <c r="J21" s="286"/>
      <c r="K21" s="286"/>
      <c r="L21" s="286"/>
      <c r="M21" s="286"/>
      <c r="N21" s="304"/>
      <c r="O21" s="309"/>
      <c r="P21" s="307"/>
      <c r="Q21" s="308">
        <f t="shared" si="0"/>
        <v>0</v>
      </c>
      <c r="U21" s="303">
        <f t="shared" si="1"/>
        <v>0</v>
      </c>
      <c r="V21" s="303">
        <f t="shared" si="2"/>
        <v>0</v>
      </c>
      <c r="W21" s="303">
        <f t="shared" si="3"/>
        <v>0</v>
      </c>
      <c r="X21" s="303">
        <f t="shared" si="4"/>
        <v>0</v>
      </c>
    </row>
    <row r="22" spans="1:24" ht="11.25" customHeight="1">
      <c r="A22" s="281"/>
      <c r="B22" s="281"/>
      <c r="C22" s="282"/>
      <c r="D22" s="281"/>
      <c r="E22" s="283"/>
      <c r="F22" s="284"/>
      <c r="G22" s="281"/>
      <c r="H22" s="281"/>
      <c r="I22" s="285"/>
      <c r="J22" s="286"/>
      <c r="K22" s="286"/>
      <c r="L22" s="286"/>
      <c r="M22" s="286"/>
      <c r="N22" s="304"/>
      <c r="O22" s="309"/>
      <c r="P22" s="307"/>
      <c r="Q22" s="308">
        <f t="shared" si="0"/>
        <v>0</v>
      </c>
      <c r="U22" s="303">
        <f t="shared" si="1"/>
        <v>0</v>
      </c>
      <c r="V22" s="303">
        <f t="shared" si="2"/>
        <v>0</v>
      </c>
      <c r="W22" s="303">
        <f t="shared" si="3"/>
        <v>0</v>
      </c>
      <c r="X22" s="303">
        <f t="shared" si="4"/>
        <v>0</v>
      </c>
    </row>
    <row r="23" spans="1:24" ht="11.25" customHeight="1">
      <c r="A23" s="281"/>
      <c r="B23" s="281"/>
      <c r="C23" s="282"/>
      <c r="D23" s="281"/>
      <c r="E23" s="283"/>
      <c r="F23" s="284"/>
      <c r="G23" s="281"/>
      <c r="H23" s="281"/>
      <c r="I23" s="285"/>
      <c r="J23" s="286"/>
      <c r="K23" s="286"/>
      <c r="L23" s="286"/>
      <c r="M23" s="286"/>
      <c r="N23" s="304"/>
      <c r="O23" s="309"/>
      <c r="P23" s="307"/>
      <c r="Q23" s="308">
        <f t="shared" si="0"/>
        <v>0</v>
      </c>
      <c r="U23" s="303">
        <f t="shared" si="1"/>
        <v>0</v>
      </c>
      <c r="V23" s="303">
        <f t="shared" si="2"/>
        <v>0</v>
      </c>
      <c r="W23" s="303">
        <f t="shared" si="3"/>
        <v>0</v>
      </c>
      <c r="X23" s="303">
        <f t="shared" si="4"/>
        <v>0</v>
      </c>
    </row>
    <row r="24" spans="1:24" s="187" customFormat="1" ht="11.25" customHeight="1">
      <c r="A24" s="287"/>
      <c r="B24" s="287"/>
      <c r="C24" s="288"/>
      <c r="D24" s="281"/>
      <c r="E24" s="283"/>
      <c r="F24" s="284"/>
      <c r="G24" s="281"/>
      <c r="H24" s="281"/>
      <c r="I24" s="285"/>
      <c r="J24" s="286"/>
      <c r="K24" s="286"/>
      <c r="L24" s="286"/>
      <c r="M24" s="286"/>
      <c r="N24" s="304"/>
      <c r="O24" s="310"/>
      <c r="P24" s="311"/>
      <c r="Q24" s="308">
        <f t="shared" si="0"/>
        <v>0</v>
      </c>
      <c r="U24" s="303">
        <f t="shared" si="1"/>
        <v>0</v>
      </c>
      <c r="V24" s="303">
        <f t="shared" si="2"/>
        <v>0</v>
      </c>
      <c r="W24" s="303">
        <f t="shared" si="3"/>
        <v>0</v>
      </c>
      <c r="X24" s="303">
        <f t="shared" si="4"/>
        <v>0</v>
      </c>
    </row>
    <row r="25" spans="1:24" ht="9.75">
      <c r="A25" s="281"/>
      <c r="B25" s="281"/>
      <c r="C25" s="289"/>
      <c r="D25" s="281"/>
      <c r="E25" s="283"/>
      <c r="F25" s="284"/>
      <c r="G25" s="281"/>
      <c r="H25" s="281"/>
      <c r="I25" s="285"/>
      <c r="J25" s="286"/>
      <c r="K25" s="286"/>
      <c r="L25" s="286"/>
      <c r="M25" s="286"/>
      <c r="N25" s="304"/>
      <c r="O25" s="309"/>
      <c r="P25" s="307"/>
      <c r="Q25" s="308">
        <f t="shared" si="0"/>
        <v>0</v>
      </c>
      <c r="U25" s="303">
        <f t="shared" si="1"/>
        <v>0</v>
      </c>
      <c r="V25" s="303">
        <f t="shared" si="2"/>
        <v>0</v>
      </c>
      <c r="W25" s="303">
        <f t="shared" si="3"/>
        <v>0</v>
      </c>
      <c r="X25" s="303">
        <f t="shared" si="4"/>
        <v>0</v>
      </c>
    </row>
    <row r="26" spans="1:24" ht="9.75">
      <c r="A26" s="281"/>
      <c r="B26" s="281"/>
      <c r="C26" s="289"/>
      <c r="D26" s="281"/>
      <c r="E26" s="283"/>
      <c r="F26" s="284"/>
      <c r="G26" s="281"/>
      <c r="H26" s="281"/>
      <c r="I26" s="285"/>
      <c r="J26" s="286"/>
      <c r="K26" s="286"/>
      <c r="L26" s="286"/>
      <c r="M26" s="286"/>
      <c r="N26" s="304"/>
      <c r="O26" s="309"/>
      <c r="P26" s="307"/>
      <c r="Q26" s="308">
        <f t="shared" si="0"/>
        <v>0</v>
      </c>
      <c r="U26" s="303">
        <f t="shared" si="1"/>
        <v>0</v>
      </c>
      <c r="V26" s="303">
        <f t="shared" si="2"/>
        <v>0</v>
      </c>
      <c r="W26" s="303">
        <f t="shared" si="3"/>
        <v>0</v>
      </c>
      <c r="X26" s="303">
        <f t="shared" si="4"/>
        <v>0</v>
      </c>
    </row>
    <row r="27" spans="1:24" ht="9.75">
      <c r="A27" s="281"/>
      <c r="B27" s="281"/>
      <c r="C27" s="289"/>
      <c r="D27" s="281"/>
      <c r="E27" s="283"/>
      <c r="F27" s="284"/>
      <c r="G27" s="281"/>
      <c r="H27" s="281"/>
      <c r="I27" s="285"/>
      <c r="J27" s="286"/>
      <c r="K27" s="286"/>
      <c r="L27" s="286"/>
      <c r="M27" s="286"/>
      <c r="N27" s="304"/>
      <c r="O27" s="309"/>
      <c r="P27" s="307"/>
      <c r="Q27" s="308">
        <f t="shared" si="0"/>
        <v>0</v>
      </c>
      <c r="U27" s="303">
        <f t="shared" si="1"/>
        <v>0</v>
      </c>
      <c r="V27" s="303">
        <f t="shared" si="2"/>
        <v>0</v>
      </c>
      <c r="W27" s="303">
        <f t="shared" si="3"/>
        <v>0</v>
      </c>
      <c r="X27" s="303">
        <f t="shared" si="4"/>
        <v>0</v>
      </c>
    </row>
    <row r="28" spans="1:24" s="187" customFormat="1" ht="9.75">
      <c r="A28" s="287"/>
      <c r="B28" s="287"/>
      <c r="C28" s="288"/>
      <c r="D28" s="287"/>
      <c r="E28" s="290"/>
      <c r="F28" s="291"/>
      <c r="G28" s="281"/>
      <c r="H28" s="281"/>
      <c r="I28" s="285"/>
      <c r="J28" s="286"/>
      <c r="K28" s="286"/>
      <c r="L28" s="286"/>
      <c r="M28" s="286"/>
      <c r="N28" s="304"/>
      <c r="O28" s="310"/>
      <c r="P28" s="311"/>
      <c r="Q28" s="308">
        <f t="shared" si="0"/>
        <v>0</v>
      </c>
      <c r="U28" s="303">
        <f t="shared" si="1"/>
        <v>0</v>
      </c>
      <c r="V28" s="303">
        <f t="shared" si="2"/>
        <v>0</v>
      </c>
      <c r="W28" s="303">
        <f t="shared" si="3"/>
        <v>0</v>
      </c>
      <c r="X28" s="303">
        <f t="shared" si="4"/>
        <v>0</v>
      </c>
    </row>
    <row r="29" spans="1:24" ht="9.75">
      <c r="A29" s="281"/>
      <c r="B29" s="281"/>
      <c r="C29" s="292"/>
      <c r="D29" s="281"/>
      <c r="E29" s="283"/>
      <c r="F29" s="284"/>
      <c r="G29" s="281"/>
      <c r="H29" s="281"/>
      <c r="I29" s="285"/>
      <c r="J29" s="286"/>
      <c r="K29" s="286"/>
      <c r="L29" s="286"/>
      <c r="M29" s="286"/>
      <c r="N29" s="304"/>
      <c r="O29" s="309"/>
      <c r="P29" s="307"/>
      <c r="Q29" s="308">
        <f t="shared" si="0"/>
        <v>0</v>
      </c>
      <c r="U29" s="303">
        <f t="shared" si="1"/>
        <v>0</v>
      </c>
      <c r="V29" s="303">
        <f t="shared" si="2"/>
        <v>0</v>
      </c>
      <c r="W29" s="303">
        <f t="shared" si="3"/>
        <v>0</v>
      </c>
      <c r="X29" s="303">
        <f t="shared" si="4"/>
        <v>0</v>
      </c>
    </row>
    <row r="30" spans="1:24" ht="9.75">
      <c r="A30" s="281"/>
      <c r="B30" s="281"/>
      <c r="C30" s="282"/>
      <c r="D30" s="281"/>
      <c r="E30" s="283"/>
      <c r="F30" s="284"/>
      <c r="G30" s="281"/>
      <c r="H30" s="281"/>
      <c r="I30" s="285"/>
      <c r="J30" s="286"/>
      <c r="K30" s="286"/>
      <c r="L30" s="286"/>
      <c r="M30" s="286"/>
      <c r="N30" s="304"/>
      <c r="O30" s="309"/>
      <c r="P30" s="307"/>
      <c r="Q30" s="308">
        <f t="shared" si="0"/>
        <v>0</v>
      </c>
      <c r="U30" s="303">
        <f t="shared" si="1"/>
        <v>0</v>
      </c>
      <c r="V30" s="303">
        <f t="shared" si="2"/>
        <v>0</v>
      </c>
      <c r="W30" s="303">
        <f t="shared" si="3"/>
        <v>0</v>
      </c>
      <c r="X30" s="303">
        <f t="shared" si="4"/>
        <v>0</v>
      </c>
    </row>
    <row r="31" spans="1:24" s="187" customFormat="1" ht="9.75">
      <c r="A31" s="287"/>
      <c r="B31" s="287"/>
      <c r="C31" s="288"/>
      <c r="D31" s="287"/>
      <c r="E31" s="293"/>
      <c r="F31" s="294"/>
      <c r="G31" s="281"/>
      <c r="H31" s="281"/>
      <c r="I31" s="285"/>
      <c r="J31" s="286"/>
      <c r="K31" s="286"/>
      <c r="L31" s="286"/>
      <c r="M31" s="286"/>
      <c r="N31" s="304"/>
      <c r="O31" s="310"/>
      <c r="P31" s="311"/>
      <c r="Q31" s="308">
        <f t="shared" si="0"/>
        <v>0</v>
      </c>
      <c r="U31" s="303">
        <f t="shared" si="1"/>
        <v>0</v>
      </c>
      <c r="V31" s="303">
        <f t="shared" si="2"/>
        <v>0</v>
      </c>
      <c r="W31" s="303">
        <f t="shared" si="3"/>
        <v>0</v>
      </c>
      <c r="X31" s="303">
        <f t="shared" si="4"/>
        <v>0</v>
      </c>
    </row>
    <row r="32" spans="1:24" ht="9.75">
      <c r="A32" s="281"/>
      <c r="B32" s="281"/>
      <c r="C32" s="289"/>
      <c r="D32" s="281"/>
      <c r="E32" s="283"/>
      <c r="F32" s="284"/>
      <c r="G32" s="281"/>
      <c r="H32" s="281"/>
      <c r="I32" s="285"/>
      <c r="J32" s="286"/>
      <c r="K32" s="286"/>
      <c r="L32" s="286"/>
      <c r="M32" s="286"/>
      <c r="N32" s="304"/>
      <c r="O32" s="309"/>
      <c r="P32" s="307"/>
      <c r="Q32" s="308">
        <f t="shared" si="0"/>
        <v>0</v>
      </c>
      <c r="U32" s="303">
        <f t="shared" si="1"/>
        <v>0</v>
      </c>
      <c r="V32" s="303">
        <f t="shared" si="2"/>
        <v>0</v>
      </c>
      <c r="W32" s="303">
        <f t="shared" si="3"/>
        <v>0</v>
      </c>
      <c r="X32" s="303">
        <f t="shared" si="4"/>
        <v>0</v>
      </c>
    </row>
    <row r="33" spans="1:24" s="187" customFormat="1" ht="9.75">
      <c r="A33" s="287"/>
      <c r="B33" s="287"/>
      <c r="C33" s="289"/>
      <c r="D33" s="281"/>
      <c r="E33" s="295"/>
      <c r="F33" s="296"/>
      <c r="G33" s="281"/>
      <c r="H33" s="281"/>
      <c r="I33" s="285"/>
      <c r="J33" s="286"/>
      <c r="K33" s="286"/>
      <c r="L33" s="286"/>
      <c r="M33" s="286"/>
      <c r="N33" s="304"/>
      <c r="O33" s="310"/>
      <c r="P33" s="311"/>
      <c r="Q33" s="308">
        <f t="shared" si="0"/>
        <v>0</v>
      </c>
      <c r="U33" s="303">
        <f t="shared" si="1"/>
        <v>0</v>
      </c>
      <c r="V33" s="303">
        <f t="shared" si="2"/>
        <v>0</v>
      </c>
      <c r="W33" s="303">
        <f t="shared" si="3"/>
        <v>0</v>
      </c>
      <c r="X33" s="303">
        <f t="shared" si="4"/>
        <v>0</v>
      </c>
    </row>
    <row r="34" spans="1:24" ht="9.75">
      <c r="A34" s="281"/>
      <c r="B34" s="281"/>
      <c r="C34" s="292"/>
      <c r="D34" s="281"/>
      <c r="E34" s="283"/>
      <c r="F34" s="284"/>
      <c r="G34" s="281"/>
      <c r="H34" s="281"/>
      <c r="I34" s="285"/>
      <c r="J34" s="286"/>
      <c r="K34" s="286"/>
      <c r="L34" s="286"/>
      <c r="M34" s="286"/>
      <c r="N34" s="304"/>
      <c r="O34" s="309"/>
      <c r="P34" s="307"/>
      <c r="Q34" s="308">
        <f t="shared" si="0"/>
        <v>0</v>
      </c>
      <c r="U34" s="303">
        <f t="shared" si="1"/>
        <v>0</v>
      </c>
      <c r="V34" s="303">
        <f t="shared" si="2"/>
        <v>0</v>
      </c>
      <c r="W34" s="303">
        <f t="shared" si="3"/>
        <v>0</v>
      </c>
      <c r="X34" s="303">
        <f t="shared" si="4"/>
        <v>0</v>
      </c>
    </row>
    <row r="35" spans="1:24" s="187" customFormat="1" ht="9.75">
      <c r="A35" s="287"/>
      <c r="B35" s="287"/>
      <c r="C35" s="289"/>
      <c r="D35" s="281"/>
      <c r="E35" s="295"/>
      <c r="F35" s="296"/>
      <c r="G35" s="281"/>
      <c r="H35" s="281"/>
      <c r="I35" s="285"/>
      <c r="J35" s="286"/>
      <c r="K35" s="286"/>
      <c r="L35" s="286"/>
      <c r="M35" s="286"/>
      <c r="N35" s="304"/>
      <c r="O35" s="310"/>
      <c r="P35" s="311"/>
      <c r="Q35" s="308">
        <f t="shared" si="0"/>
        <v>0</v>
      </c>
      <c r="U35" s="303">
        <f t="shared" si="1"/>
        <v>0</v>
      </c>
      <c r="V35" s="303">
        <f t="shared" si="2"/>
        <v>0</v>
      </c>
      <c r="W35" s="303">
        <f t="shared" si="3"/>
        <v>0</v>
      </c>
      <c r="X35" s="303">
        <f t="shared" si="4"/>
        <v>0</v>
      </c>
    </row>
    <row r="36" spans="1:24" ht="9.75">
      <c r="A36" s="281"/>
      <c r="B36" s="281"/>
      <c r="C36" s="292"/>
      <c r="D36" s="281"/>
      <c r="E36" s="283"/>
      <c r="F36" s="284"/>
      <c r="G36" s="281"/>
      <c r="H36" s="281"/>
      <c r="I36" s="285"/>
      <c r="J36" s="286"/>
      <c r="K36" s="286"/>
      <c r="L36" s="286"/>
      <c r="M36" s="286"/>
      <c r="N36" s="304"/>
      <c r="O36" s="309"/>
      <c r="P36" s="307"/>
      <c r="Q36" s="308">
        <f t="shared" si="0"/>
        <v>0</v>
      </c>
      <c r="U36" s="303">
        <f t="shared" si="1"/>
        <v>0</v>
      </c>
      <c r="V36" s="303">
        <f t="shared" si="2"/>
        <v>0</v>
      </c>
      <c r="W36" s="303">
        <f t="shared" si="3"/>
        <v>0</v>
      </c>
      <c r="X36" s="303">
        <f t="shared" si="4"/>
        <v>0</v>
      </c>
    </row>
    <row r="37" spans="1:24" ht="9.75">
      <c r="A37" s="281"/>
      <c r="B37" s="281"/>
      <c r="C37" s="292"/>
      <c r="D37" s="287"/>
      <c r="E37" s="293"/>
      <c r="F37" s="294"/>
      <c r="G37" s="281"/>
      <c r="H37" s="281"/>
      <c r="I37" s="285"/>
      <c r="J37" s="286"/>
      <c r="K37" s="286"/>
      <c r="L37" s="286"/>
      <c r="M37" s="286"/>
      <c r="N37" s="304"/>
      <c r="O37" s="309"/>
      <c r="P37" s="307"/>
      <c r="Q37" s="308">
        <f t="shared" si="0"/>
        <v>0</v>
      </c>
      <c r="U37" s="303">
        <f t="shared" si="1"/>
        <v>0</v>
      </c>
      <c r="V37" s="303">
        <f t="shared" si="2"/>
        <v>0</v>
      </c>
      <c r="W37" s="303">
        <f t="shared" si="3"/>
        <v>0</v>
      </c>
      <c r="X37" s="303">
        <f t="shared" si="4"/>
        <v>0</v>
      </c>
    </row>
    <row r="38" spans="1:24" ht="9.75">
      <c r="A38" s="281"/>
      <c r="B38" s="281"/>
      <c r="C38" s="292"/>
      <c r="D38" s="287"/>
      <c r="E38" s="293"/>
      <c r="F38" s="294"/>
      <c r="G38" s="281"/>
      <c r="H38" s="281"/>
      <c r="I38" s="285"/>
      <c r="J38" s="286"/>
      <c r="K38" s="286"/>
      <c r="L38" s="286"/>
      <c r="M38" s="286"/>
      <c r="N38" s="304"/>
      <c r="O38" s="309"/>
      <c r="P38" s="307"/>
      <c r="Q38" s="308">
        <f t="shared" si="0"/>
        <v>0</v>
      </c>
      <c r="U38" s="303">
        <f t="shared" si="1"/>
        <v>0</v>
      </c>
      <c r="V38" s="303">
        <f t="shared" si="2"/>
        <v>0</v>
      </c>
      <c r="W38" s="303">
        <f t="shared" si="3"/>
        <v>0</v>
      </c>
      <c r="X38" s="303">
        <f t="shared" si="4"/>
        <v>0</v>
      </c>
    </row>
    <row r="39" spans="1:24" ht="9.75">
      <c r="A39" s="281"/>
      <c r="B39" s="281"/>
      <c r="C39" s="292"/>
      <c r="D39" s="287"/>
      <c r="E39" s="293"/>
      <c r="F39" s="294"/>
      <c r="G39" s="281"/>
      <c r="H39" s="281"/>
      <c r="I39" s="285"/>
      <c r="J39" s="286"/>
      <c r="K39" s="286"/>
      <c r="L39" s="286"/>
      <c r="M39" s="286"/>
      <c r="N39" s="304"/>
      <c r="O39" s="309"/>
      <c r="P39" s="307"/>
      <c r="Q39" s="308">
        <f t="shared" si="0"/>
        <v>0</v>
      </c>
      <c r="U39" s="303">
        <f t="shared" si="1"/>
        <v>0</v>
      </c>
      <c r="V39" s="303">
        <f t="shared" si="2"/>
        <v>0</v>
      </c>
      <c r="W39" s="303">
        <f t="shared" si="3"/>
        <v>0</v>
      </c>
      <c r="X39" s="303">
        <f t="shared" si="4"/>
        <v>0</v>
      </c>
    </row>
    <row r="40" spans="1:24" ht="9.75">
      <c r="A40" s="281"/>
      <c r="B40" s="281"/>
      <c r="C40" s="292"/>
      <c r="D40" s="287"/>
      <c r="E40" s="293"/>
      <c r="F40" s="294"/>
      <c r="G40" s="281"/>
      <c r="H40" s="281"/>
      <c r="I40" s="285"/>
      <c r="J40" s="286"/>
      <c r="K40" s="286"/>
      <c r="L40" s="286"/>
      <c r="M40" s="286"/>
      <c r="N40" s="304"/>
      <c r="O40" s="309"/>
      <c r="P40" s="307"/>
      <c r="Q40" s="308">
        <f t="shared" si="0"/>
        <v>0</v>
      </c>
      <c r="U40" s="303">
        <f t="shared" si="1"/>
        <v>0</v>
      </c>
      <c r="V40" s="303">
        <f t="shared" si="2"/>
        <v>0</v>
      </c>
      <c r="W40" s="303">
        <f t="shared" si="3"/>
        <v>0</v>
      </c>
      <c r="X40" s="303">
        <f t="shared" si="4"/>
        <v>0</v>
      </c>
    </row>
    <row r="41" spans="1:24" ht="9.75">
      <c r="A41" s="281"/>
      <c r="B41" s="281"/>
      <c r="C41" s="292"/>
      <c r="D41" s="287"/>
      <c r="E41" s="293"/>
      <c r="F41" s="294"/>
      <c r="G41" s="281"/>
      <c r="H41" s="281"/>
      <c r="I41" s="285"/>
      <c r="J41" s="286"/>
      <c r="K41" s="286"/>
      <c r="L41" s="286"/>
      <c r="M41" s="286"/>
      <c r="N41" s="304"/>
      <c r="O41" s="309"/>
      <c r="P41" s="307"/>
      <c r="Q41" s="308">
        <f t="shared" si="0"/>
        <v>0</v>
      </c>
      <c r="U41" s="303">
        <f t="shared" si="1"/>
        <v>0</v>
      </c>
      <c r="V41" s="303">
        <f t="shared" si="2"/>
        <v>0</v>
      </c>
      <c r="W41" s="303">
        <f t="shared" si="3"/>
        <v>0</v>
      </c>
      <c r="X41" s="303">
        <f t="shared" si="4"/>
        <v>0</v>
      </c>
    </row>
    <row r="42" spans="1:24" ht="9.75">
      <c r="A42" s="281"/>
      <c r="B42" s="281"/>
      <c r="C42" s="292"/>
      <c r="D42" s="287"/>
      <c r="E42" s="293"/>
      <c r="F42" s="294"/>
      <c r="G42" s="281"/>
      <c r="H42" s="281"/>
      <c r="I42" s="285"/>
      <c r="J42" s="286"/>
      <c r="K42" s="286"/>
      <c r="L42" s="286"/>
      <c r="M42" s="286"/>
      <c r="N42" s="304"/>
      <c r="O42" s="309"/>
      <c r="P42" s="307"/>
      <c r="Q42" s="308">
        <f t="shared" si="0"/>
        <v>0</v>
      </c>
      <c r="U42" s="303">
        <f t="shared" si="1"/>
        <v>0</v>
      </c>
      <c r="V42" s="303">
        <f t="shared" si="2"/>
        <v>0</v>
      </c>
      <c r="W42" s="303">
        <f t="shared" si="3"/>
        <v>0</v>
      </c>
      <c r="X42" s="303">
        <f t="shared" si="4"/>
        <v>0</v>
      </c>
    </row>
    <row r="43" spans="1:24" ht="9.75">
      <c r="A43" s="281"/>
      <c r="B43" s="281"/>
      <c r="C43" s="292"/>
      <c r="D43" s="287"/>
      <c r="E43" s="293"/>
      <c r="F43" s="294"/>
      <c r="G43" s="281"/>
      <c r="H43" s="281"/>
      <c r="I43" s="285"/>
      <c r="J43" s="286"/>
      <c r="K43" s="286"/>
      <c r="L43" s="286"/>
      <c r="M43" s="286"/>
      <c r="N43" s="304"/>
      <c r="O43" s="309"/>
      <c r="P43" s="307"/>
      <c r="Q43" s="308">
        <f t="shared" si="0"/>
        <v>0</v>
      </c>
      <c r="U43" s="303">
        <f t="shared" si="1"/>
        <v>0</v>
      </c>
      <c r="V43" s="303">
        <f t="shared" si="2"/>
        <v>0</v>
      </c>
      <c r="W43" s="303">
        <f t="shared" si="3"/>
        <v>0</v>
      </c>
      <c r="X43" s="303">
        <f t="shared" si="4"/>
        <v>0</v>
      </c>
    </row>
    <row r="44" spans="1:24" ht="9.75">
      <c r="A44" s="281"/>
      <c r="B44" s="281"/>
      <c r="C44" s="292"/>
      <c r="D44" s="287"/>
      <c r="E44" s="293"/>
      <c r="F44" s="294"/>
      <c r="G44" s="281"/>
      <c r="H44" s="281"/>
      <c r="I44" s="285"/>
      <c r="J44" s="286"/>
      <c r="K44" s="286"/>
      <c r="L44" s="286"/>
      <c r="M44" s="286"/>
      <c r="N44" s="304"/>
      <c r="O44" s="309"/>
      <c r="P44" s="307"/>
      <c r="Q44" s="308">
        <f t="shared" si="0"/>
        <v>0</v>
      </c>
      <c r="U44" s="303">
        <f t="shared" si="1"/>
        <v>0</v>
      </c>
      <c r="V44" s="303">
        <f t="shared" si="2"/>
        <v>0</v>
      </c>
      <c r="W44" s="303">
        <f t="shared" si="3"/>
        <v>0</v>
      </c>
      <c r="X44" s="303">
        <f t="shared" si="4"/>
        <v>0</v>
      </c>
    </row>
    <row r="45" spans="1:24" ht="9.75">
      <c r="A45" s="281"/>
      <c r="B45" s="281"/>
      <c r="C45" s="292"/>
      <c r="D45" s="287"/>
      <c r="E45" s="293"/>
      <c r="F45" s="294"/>
      <c r="G45" s="281"/>
      <c r="H45" s="281"/>
      <c r="I45" s="285"/>
      <c r="J45" s="286"/>
      <c r="K45" s="286"/>
      <c r="L45" s="286"/>
      <c r="M45" s="286"/>
      <c r="N45" s="304"/>
      <c r="O45" s="309"/>
      <c r="P45" s="307"/>
      <c r="Q45" s="308">
        <f t="shared" si="0"/>
        <v>0</v>
      </c>
      <c r="U45" s="303">
        <f t="shared" si="1"/>
        <v>0</v>
      </c>
      <c r="V45" s="303">
        <f t="shared" si="2"/>
        <v>0</v>
      </c>
      <c r="W45" s="303">
        <f t="shared" si="3"/>
        <v>0</v>
      </c>
      <c r="X45" s="303">
        <f t="shared" si="4"/>
        <v>0</v>
      </c>
    </row>
    <row r="46" spans="1:24" ht="9.75">
      <c r="A46" s="281"/>
      <c r="B46" s="281"/>
      <c r="C46" s="292"/>
      <c r="D46" s="287"/>
      <c r="E46" s="293"/>
      <c r="F46" s="294"/>
      <c r="G46" s="281"/>
      <c r="H46" s="281"/>
      <c r="I46" s="285"/>
      <c r="J46" s="286"/>
      <c r="K46" s="286"/>
      <c r="L46" s="286"/>
      <c r="M46" s="286"/>
      <c r="N46" s="304"/>
      <c r="O46" s="309"/>
      <c r="P46" s="307"/>
      <c r="Q46" s="308">
        <f t="shared" si="0"/>
        <v>0</v>
      </c>
      <c r="U46" s="303">
        <f t="shared" si="1"/>
        <v>0</v>
      </c>
      <c r="V46" s="303">
        <f t="shared" si="2"/>
        <v>0</v>
      </c>
      <c r="W46" s="303">
        <f t="shared" si="3"/>
        <v>0</v>
      </c>
      <c r="X46" s="303">
        <f t="shared" si="4"/>
        <v>0</v>
      </c>
    </row>
    <row r="47" spans="1:24" ht="9.75">
      <c r="A47" s="281"/>
      <c r="B47" s="281"/>
      <c r="C47" s="292"/>
      <c r="D47" s="287"/>
      <c r="E47" s="293"/>
      <c r="F47" s="294"/>
      <c r="G47" s="281"/>
      <c r="H47" s="281"/>
      <c r="I47" s="285"/>
      <c r="J47" s="286"/>
      <c r="K47" s="286"/>
      <c r="L47" s="286"/>
      <c r="M47" s="286"/>
      <c r="N47" s="304"/>
      <c r="O47" s="309"/>
      <c r="P47" s="307"/>
      <c r="Q47" s="308">
        <f t="shared" si="0"/>
        <v>0</v>
      </c>
      <c r="U47" s="303">
        <f t="shared" si="1"/>
        <v>0</v>
      </c>
      <c r="V47" s="303">
        <f t="shared" si="2"/>
        <v>0</v>
      </c>
      <c r="W47" s="303">
        <f t="shared" si="3"/>
        <v>0</v>
      </c>
      <c r="X47" s="303">
        <f t="shared" si="4"/>
        <v>0</v>
      </c>
    </row>
    <row r="48" spans="1:24" ht="9.75">
      <c r="A48" s="281"/>
      <c r="B48" s="281"/>
      <c r="C48" s="288"/>
      <c r="D48" s="287"/>
      <c r="E48" s="293"/>
      <c r="F48" s="294"/>
      <c r="G48" s="281"/>
      <c r="H48" s="281"/>
      <c r="I48" s="285"/>
      <c r="J48" s="286"/>
      <c r="K48" s="286"/>
      <c r="L48" s="286"/>
      <c r="M48" s="286"/>
      <c r="N48" s="304"/>
      <c r="O48" s="309"/>
      <c r="P48" s="307"/>
      <c r="Q48" s="308">
        <f t="shared" si="0"/>
        <v>0</v>
      </c>
      <c r="U48" s="303">
        <f t="shared" si="1"/>
        <v>0</v>
      </c>
      <c r="V48" s="303">
        <f t="shared" si="2"/>
        <v>0</v>
      </c>
      <c r="W48" s="303">
        <f t="shared" si="3"/>
        <v>0</v>
      </c>
      <c r="X48" s="303">
        <f t="shared" si="4"/>
        <v>0</v>
      </c>
    </row>
    <row r="49" spans="1:24" ht="9.75">
      <c r="A49" s="281"/>
      <c r="B49" s="281"/>
      <c r="C49" s="282"/>
      <c r="D49" s="281"/>
      <c r="E49" s="295"/>
      <c r="F49" s="296"/>
      <c r="G49" s="281"/>
      <c r="H49" s="281"/>
      <c r="I49" s="285"/>
      <c r="J49" s="286"/>
      <c r="K49" s="286"/>
      <c r="L49" s="286"/>
      <c r="M49" s="286"/>
      <c r="N49" s="304"/>
      <c r="O49" s="309"/>
      <c r="P49" s="307"/>
      <c r="Q49" s="308">
        <f t="shared" si="0"/>
        <v>0</v>
      </c>
      <c r="U49" s="303">
        <f t="shared" si="1"/>
        <v>0</v>
      </c>
      <c r="V49" s="303">
        <f t="shared" si="2"/>
        <v>0</v>
      </c>
      <c r="W49" s="303">
        <f t="shared" si="3"/>
        <v>0</v>
      </c>
      <c r="X49" s="303">
        <f t="shared" si="4"/>
        <v>0</v>
      </c>
    </row>
    <row r="50" spans="1:24" ht="9.75">
      <c r="A50" s="281"/>
      <c r="B50" s="281"/>
      <c r="C50" s="282"/>
      <c r="D50" s="281"/>
      <c r="E50" s="295"/>
      <c r="F50" s="296"/>
      <c r="G50" s="281"/>
      <c r="H50" s="281"/>
      <c r="I50" s="285"/>
      <c r="J50" s="286"/>
      <c r="K50" s="286"/>
      <c r="L50" s="286"/>
      <c r="M50" s="286"/>
      <c r="N50" s="304"/>
      <c r="O50" s="309"/>
      <c r="P50" s="307"/>
      <c r="Q50" s="308">
        <f t="shared" si="0"/>
        <v>0</v>
      </c>
      <c r="U50" s="303">
        <f t="shared" si="1"/>
        <v>0</v>
      </c>
      <c r="V50" s="303">
        <f t="shared" si="2"/>
        <v>0</v>
      </c>
      <c r="W50" s="303">
        <f t="shared" si="3"/>
        <v>0</v>
      </c>
      <c r="X50" s="303">
        <f t="shared" si="4"/>
        <v>0</v>
      </c>
    </row>
    <row r="51" spans="1:24" ht="9.75">
      <c r="A51" s="281"/>
      <c r="B51" s="281"/>
      <c r="C51" s="282"/>
      <c r="D51" s="281"/>
      <c r="E51" s="295"/>
      <c r="F51" s="297"/>
      <c r="G51" s="281"/>
      <c r="H51" s="281"/>
      <c r="I51" s="285"/>
      <c r="J51" s="286"/>
      <c r="K51" s="286"/>
      <c r="L51" s="286"/>
      <c r="M51" s="286"/>
      <c r="N51" s="304"/>
      <c r="O51" s="309"/>
      <c r="P51" s="307"/>
      <c r="Q51" s="308">
        <f t="shared" si="0"/>
        <v>0</v>
      </c>
      <c r="U51" s="303">
        <f t="shared" si="1"/>
        <v>0</v>
      </c>
      <c r="V51" s="303">
        <f t="shared" si="2"/>
        <v>0</v>
      </c>
      <c r="W51" s="303">
        <f t="shared" si="3"/>
        <v>0</v>
      </c>
      <c r="X51" s="303">
        <f t="shared" si="4"/>
        <v>0</v>
      </c>
    </row>
    <row r="52" spans="1:24" ht="9.75">
      <c r="A52" s="281"/>
      <c r="B52" s="281"/>
      <c r="C52" s="282"/>
      <c r="D52" s="281"/>
      <c r="E52" s="295"/>
      <c r="F52" s="296"/>
      <c r="G52" s="281"/>
      <c r="H52" s="281"/>
      <c r="I52" s="285"/>
      <c r="J52" s="286"/>
      <c r="K52" s="286"/>
      <c r="L52" s="286"/>
      <c r="M52" s="286"/>
      <c r="N52" s="304"/>
      <c r="O52" s="309"/>
      <c r="P52" s="307"/>
      <c r="Q52" s="308">
        <f t="shared" si="0"/>
        <v>0</v>
      </c>
      <c r="U52" s="303">
        <f t="shared" si="1"/>
        <v>0</v>
      </c>
      <c r="V52" s="303">
        <f t="shared" si="2"/>
        <v>0</v>
      </c>
      <c r="W52" s="303">
        <f t="shared" si="3"/>
        <v>0</v>
      </c>
      <c r="X52" s="303">
        <f t="shared" si="4"/>
        <v>0</v>
      </c>
    </row>
    <row r="53" spans="1:24" ht="9.75">
      <c r="A53" s="281"/>
      <c r="B53" s="281"/>
      <c r="C53" s="282"/>
      <c r="D53" s="281"/>
      <c r="E53" s="295"/>
      <c r="F53" s="296"/>
      <c r="G53" s="281"/>
      <c r="H53" s="281"/>
      <c r="I53" s="285"/>
      <c r="J53" s="286"/>
      <c r="K53" s="286"/>
      <c r="L53" s="286"/>
      <c r="M53" s="286"/>
      <c r="N53" s="304"/>
      <c r="O53" s="309"/>
      <c r="P53" s="307"/>
      <c r="Q53" s="308">
        <f t="shared" si="0"/>
        <v>0</v>
      </c>
      <c r="U53" s="303">
        <f t="shared" si="1"/>
        <v>0</v>
      </c>
      <c r="V53" s="303">
        <f t="shared" si="2"/>
        <v>0</v>
      </c>
      <c r="W53" s="303">
        <f t="shared" si="3"/>
        <v>0</v>
      </c>
      <c r="X53" s="303">
        <f t="shared" si="4"/>
        <v>0</v>
      </c>
    </row>
    <row r="54" spans="1:24" ht="9.75">
      <c r="A54" s="281"/>
      <c r="B54" s="281"/>
      <c r="C54" s="282"/>
      <c r="D54" s="281"/>
      <c r="E54" s="295"/>
      <c r="F54" s="296"/>
      <c r="G54" s="281"/>
      <c r="H54" s="281"/>
      <c r="I54" s="285"/>
      <c r="J54" s="286"/>
      <c r="K54" s="286"/>
      <c r="L54" s="286"/>
      <c r="M54" s="286"/>
      <c r="N54" s="304"/>
      <c r="O54" s="309"/>
      <c r="P54" s="307"/>
      <c r="Q54" s="308">
        <f t="shared" si="0"/>
        <v>0</v>
      </c>
      <c r="U54" s="303">
        <f t="shared" si="1"/>
        <v>0</v>
      </c>
      <c r="V54" s="303">
        <f t="shared" si="2"/>
        <v>0</v>
      </c>
      <c r="W54" s="303">
        <f t="shared" si="3"/>
        <v>0</v>
      </c>
      <c r="X54" s="303">
        <f t="shared" si="4"/>
        <v>0</v>
      </c>
    </row>
    <row r="55" spans="1:24" ht="9.75">
      <c r="A55" s="281"/>
      <c r="B55" s="281"/>
      <c r="C55" s="282"/>
      <c r="D55" s="281"/>
      <c r="E55" s="295"/>
      <c r="F55" s="296"/>
      <c r="G55" s="281"/>
      <c r="H55" s="281"/>
      <c r="I55" s="285"/>
      <c r="J55" s="286"/>
      <c r="K55" s="286"/>
      <c r="L55" s="286"/>
      <c r="M55" s="286"/>
      <c r="N55" s="304"/>
      <c r="O55" s="309"/>
      <c r="P55" s="307"/>
      <c r="Q55" s="308">
        <f t="shared" si="0"/>
        <v>0</v>
      </c>
      <c r="U55" s="303">
        <f t="shared" si="1"/>
        <v>0</v>
      </c>
      <c r="V55" s="303">
        <f t="shared" si="2"/>
        <v>0</v>
      </c>
      <c r="W55" s="303">
        <f t="shared" si="3"/>
        <v>0</v>
      </c>
      <c r="X55" s="303">
        <f t="shared" si="4"/>
        <v>0</v>
      </c>
    </row>
    <row r="56" spans="1:24" ht="9.75">
      <c r="A56" s="281"/>
      <c r="B56" s="281"/>
      <c r="C56" s="282"/>
      <c r="D56" s="281"/>
      <c r="E56" s="295"/>
      <c r="F56" s="296"/>
      <c r="G56" s="281"/>
      <c r="H56" s="281"/>
      <c r="I56" s="285"/>
      <c r="J56" s="286"/>
      <c r="K56" s="286"/>
      <c r="L56" s="286"/>
      <c r="M56" s="286"/>
      <c r="N56" s="304"/>
      <c r="O56" s="309"/>
      <c r="P56" s="307"/>
      <c r="Q56" s="308">
        <f t="shared" si="0"/>
        <v>0</v>
      </c>
      <c r="U56" s="303">
        <f t="shared" si="1"/>
        <v>0</v>
      </c>
      <c r="V56" s="303">
        <f t="shared" si="2"/>
        <v>0</v>
      </c>
      <c r="W56" s="303">
        <f t="shared" si="3"/>
        <v>0</v>
      </c>
      <c r="X56" s="303">
        <f t="shared" si="4"/>
        <v>0</v>
      </c>
    </row>
    <row r="57" spans="1:24" ht="9.75">
      <c r="A57" s="281"/>
      <c r="B57" s="281"/>
      <c r="C57" s="282"/>
      <c r="D57" s="281"/>
      <c r="E57" s="295"/>
      <c r="F57" s="296"/>
      <c r="G57" s="281"/>
      <c r="H57" s="281"/>
      <c r="I57" s="285"/>
      <c r="J57" s="286"/>
      <c r="K57" s="286"/>
      <c r="L57" s="286"/>
      <c r="M57" s="286"/>
      <c r="N57" s="304"/>
      <c r="O57" s="309"/>
      <c r="P57" s="307"/>
      <c r="Q57" s="308">
        <f t="shared" si="0"/>
        <v>0</v>
      </c>
      <c r="U57" s="303">
        <f t="shared" si="1"/>
        <v>0</v>
      </c>
      <c r="V57" s="303">
        <f t="shared" si="2"/>
        <v>0</v>
      </c>
      <c r="W57" s="303">
        <f t="shared" si="3"/>
        <v>0</v>
      </c>
      <c r="X57" s="303">
        <f t="shared" si="4"/>
        <v>0</v>
      </c>
    </row>
    <row r="58" spans="1:24" ht="9.75">
      <c r="A58" s="281"/>
      <c r="B58" s="281"/>
      <c r="C58" s="282"/>
      <c r="D58" s="281"/>
      <c r="E58" s="295"/>
      <c r="F58" s="296"/>
      <c r="G58" s="281"/>
      <c r="H58" s="281"/>
      <c r="I58" s="285"/>
      <c r="J58" s="286"/>
      <c r="K58" s="286"/>
      <c r="L58" s="286"/>
      <c r="M58" s="286"/>
      <c r="N58" s="304"/>
      <c r="O58" s="309"/>
      <c r="P58" s="307"/>
      <c r="Q58" s="308">
        <f t="shared" si="0"/>
        <v>0</v>
      </c>
      <c r="U58" s="303">
        <f t="shared" si="1"/>
        <v>0</v>
      </c>
      <c r="V58" s="303">
        <f t="shared" si="2"/>
        <v>0</v>
      </c>
      <c r="W58" s="303">
        <f t="shared" si="3"/>
        <v>0</v>
      </c>
      <c r="X58" s="303">
        <f t="shared" si="4"/>
        <v>0</v>
      </c>
    </row>
    <row r="59" spans="1:24" ht="9.75">
      <c r="A59" s="281"/>
      <c r="B59" s="281"/>
      <c r="C59" s="282"/>
      <c r="D59" s="281"/>
      <c r="E59" s="295"/>
      <c r="F59" s="296"/>
      <c r="G59" s="281"/>
      <c r="H59" s="281"/>
      <c r="I59" s="285"/>
      <c r="J59" s="286"/>
      <c r="K59" s="286"/>
      <c r="L59" s="286"/>
      <c r="M59" s="286"/>
      <c r="N59" s="304"/>
      <c r="O59" s="309"/>
      <c r="P59" s="307"/>
      <c r="Q59" s="308">
        <f t="shared" si="0"/>
        <v>0</v>
      </c>
      <c r="U59" s="303">
        <f t="shared" si="1"/>
        <v>0</v>
      </c>
      <c r="V59" s="303">
        <f t="shared" si="2"/>
        <v>0</v>
      </c>
      <c r="W59" s="303">
        <f t="shared" si="3"/>
        <v>0</v>
      </c>
      <c r="X59" s="303">
        <f t="shared" si="4"/>
        <v>0</v>
      </c>
    </row>
    <row r="60" spans="1:24" ht="9.75">
      <c r="A60" s="281"/>
      <c r="B60" s="281"/>
      <c r="C60" s="282"/>
      <c r="D60" s="281"/>
      <c r="E60" s="295"/>
      <c r="F60" s="296"/>
      <c r="G60" s="281"/>
      <c r="H60" s="281"/>
      <c r="I60" s="285"/>
      <c r="J60" s="286"/>
      <c r="K60" s="286"/>
      <c r="L60" s="286"/>
      <c r="M60" s="286"/>
      <c r="N60" s="304"/>
      <c r="O60" s="309"/>
      <c r="P60" s="307"/>
      <c r="Q60" s="308">
        <f t="shared" si="0"/>
        <v>0</v>
      </c>
      <c r="U60" s="303">
        <f t="shared" si="1"/>
        <v>0</v>
      </c>
      <c r="V60" s="303">
        <f t="shared" si="2"/>
        <v>0</v>
      </c>
      <c r="W60" s="303">
        <f t="shared" si="3"/>
        <v>0</v>
      </c>
      <c r="X60" s="303">
        <f t="shared" si="4"/>
        <v>0</v>
      </c>
    </row>
    <row r="61" spans="1:24" ht="9.75">
      <c r="A61" s="281"/>
      <c r="B61" s="281"/>
      <c r="C61" s="282"/>
      <c r="D61" s="281"/>
      <c r="E61" s="295"/>
      <c r="F61" s="296"/>
      <c r="G61" s="281"/>
      <c r="H61" s="281"/>
      <c r="I61" s="285"/>
      <c r="J61" s="286"/>
      <c r="K61" s="286"/>
      <c r="L61" s="286"/>
      <c r="M61" s="286"/>
      <c r="N61" s="304"/>
      <c r="O61" s="309"/>
      <c r="P61" s="307"/>
      <c r="Q61" s="308">
        <f t="shared" si="0"/>
        <v>0</v>
      </c>
      <c r="U61" s="303">
        <f t="shared" si="1"/>
        <v>0</v>
      </c>
      <c r="V61" s="303">
        <f t="shared" si="2"/>
        <v>0</v>
      </c>
      <c r="W61" s="303">
        <f t="shared" si="3"/>
        <v>0</v>
      </c>
      <c r="X61" s="303">
        <f t="shared" si="4"/>
        <v>0</v>
      </c>
    </row>
    <row r="62" spans="1:24" ht="9.75">
      <c r="A62" s="281"/>
      <c r="B62" s="281"/>
      <c r="C62" s="282"/>
      <c r="D62" s="281"/>
      <c r="E62" s="295"/>
      <c r="F62" s="296"/>
      <c r="G62" s="281"/>
      <c r="H62" s="281"/>
      <c r="I62" s="285"/>
      <c r="J62" s="286"/>
      <c r="K62" s="286"/>
      <c r="L62" s="286"/>
      <c r="M62" s="286"/>
      <c r="N62" s="304"/>
      <c r="O62" s="309"/>
      <c r="P62" s="307"/>
      <c r="Q62" s="308">
        <f t="shared" si="0"/>
        <v>0</v>
      </c>
      <c r="U62" s="303">
        <f t="shared" si="1"/>
        <v>0</v>
      </c>
      <c r="V62" s="303">
        <f t="shared" si="2"/>
        <v>0</v>
      </c>
      <c r="W62" s="303">
        <f t="shared" si="3"/>
        <v>0</v>
      </c>
      <c r="X62" s="303">
        <f t="shared" si="4"/>
        <v>0</v>
      </c>
    </row>
    <row r="63" spans="1:24" ht="9.75">
      <c r="A63" s="281"/>
      <c r="B63" s="281"/>
      <c r="C63" s="282"/>
      <c r="D63" s="281"/>
      <c r="E63" s="295"/>
      <c r="F63" s="296"/>
      <c r="G63" s="281"/>
      <c r="H63" s="281"/>
      <c r="I63" s="285"/>
      <c r="J63" s="286"/>
      <c r="K63" s="286"/>
      <c r="L63" s="286"/>
      <c r="M63" s="286"/>
      <c r="N63" s="304"/>
      <c r="O63" s="309"/>
      <c r="P63" s="307"/>
      <c r="Q63" s="308">
        <f t="shared" si="0"/>
        <v>0</v>
      </c>
      <c r="U63" s="303">
        <f t="shared" si="1"/>
        <v>0</v>
      </c>
      <c r="V63" s="303">
        <f t="shared" si="2"/>
        <v>0</v>
      </c>
      <c r="W63" s="303">
        <f t="shared" si="3"/>
        <v>0</v>
      </c>
      <c r="X63" s="303">
        <f t="shared" si="4"/>
        <v>0</v>
      </c>
    </row>
    <row r="64" spans="1:24" ht="9.75">
      <c r="A64" s="281"/>
      <c r="B64" s="281"/>
      <c r="C64" s="282"/>
      <c r="D64" s="281"/>
      <c r="E64" s="295"/>
      <c r="F64" s="296"/>
      <c r="G64" s="281"/>
      <c r="H64" s="281"/>
      <c r="I64" s="285"/>
      <c r="J64" s="286"/>
      <c r="K64" s="286"/>
      <c r="L64" s="286"/>
      <c r="M64" s="286"/>
      <c r="N64" s="304"/>
      <c r="O64" s="309"/>
      <c r="P64" s="307"/>
      <c r="Q64" s="308">
        <f t="shared" si="0"/>
        <v>0</v>
      </c>
      <c r="U64" s="303">
        <f t="shared" si="1"/>
        <v>0</v>
      </c>
      <c r="V64" s="303">
        <f t="shared" si="2"/>
        <v>0</v>
      </c>
      <c r="W64" s="303">
        <f t="shared" si="3"/>
        <v>0</v>
      </c>
      <c r="X64" s="303">
        <f t="shared" si="4"/>
        <v>0</v>
      </c>
    </row>
    <row r="65" spans="1:24" ht="9.75">
      <c r="A65" s="281"/>
      <c r="B65" s="281"/>
      <c r="C65" s="282"/>
      <c r="D65" s="281"/>
      <c r="E65" s="295"/>
      <c r="F65" s="296"/>
      <c r="G65" s="281"/>
      <c r="H65" s="281"/>
      <c r="I65" s="285"/>
      <c r="J65" s="286"/>
      <c r="K65" s="286"/>
      <c r="L65" s="286"/>
      <c r="M65" s="286"/>
      <c r="N65" s="304"/>
      <c r="O65" s="309"/>
      <c r="P65" s="307"/>
      <c r="Q65" s="308">
        <f t="shared" si="0"/>
        <v>0</v>
      </c>
      <c r="U65" s="303">
        <f t="shared" si="1"/>
        <v>0</v>
      </c>
      <c r="V65" s="303">
        <f t="shared" si="2"/>
        <v>0</v>
      </c>
      <c r="W65" s="303">
        <f t="shared" si="3"/>
        <v>0</v>
      </c>
      <c r="X65" s="303">
        <f t="shared" si="4"/>
        <v>0</v>
      </c>
    </row>
    <row r="66" spans="1:24" ht="9.75">
      <c r="A66" s="281"/>
      <c r="B66" s="281"/>
      <c r="C66" s="282"/>
      <c r="D66" s="281"/>
      <c r="E66" s="295"/>
      <c r="F66" s="296"/>
      <c r="G66" s="281"/>
      <c r="H66" s="281"/>
      <c r="I66" s="285"/>
      <c r="J66" s="286"/>
      <c r="K66" s="286"/>
      <c r="L66" s="286"/>
      <c r="M66" s="286"/>
      <c r="N66" s="304"/>
      <c r="O66" s="309"/>
      <c r="P66" s="307"/>
      <c r="Q66" s="308">
        <f t="shared" si="0"/>
        <v>0</v>
      </c>
      <c r="U66" s="303">
        <f t="shared" si="1"/>
        <v>0</v>
      </c>
      <c r="V66" s="303">
        <f t="shared" si="2"/>
        <v>0</v>
      </c>
      <c r="W66" s="303">
        <f t="shared" si="3"/>
        <v>0</v>
      </c>
      <c r="X66" s="303">
        <f t="shared" si="4"/>
        <v>0</v>
      </c>
    </row>
    <row r="67" spans="1:24" ht="9.75">
      <c r="A67" s="281"/>
      <c r="B67" s="281"/>
      <c r="C67" s="282"/>
      <c r="D67" s="281"/>
      <c r="E67" s="295"/>
      <c r="F67" s="296"/>
      <c r="G67" s="281"/>
      <c r="H67" s="281"/>
      <c r="I67" s="285"/>
      <c r="J67" s="286"/>
      <c r="K67" s="286"/>
      <c r="L67" s="286"/>
      <c r="M67" s="286"/>
      <c r="N67" s="304"/>
      <c r="O67" s="309"/>
      <c r="P67" s="307"/>
      <c r="Q67" s="308">
        <f t="shared" si="0"/>
        <v>0</v>
      </c>
      <c r="U67" s="303">
        <f t="shared" si="1"/>
        <v>0</v>
      </c>
      <c r="V67" s="303">
        <f t="shared" si="2"/>
        <v>0</v>
      </c>
      <c r="W67" s="303">
        <f t="shared" si="3"/>
        <v>0</v>
      </c>
      <c r="X67" s="303">
        <f t="shared" si="4"/>
        <v>0</v>
      </c>
    </row>
    <row r="68" spans="1:24" ht="9.75">
      <c r="A68" s="281"/>
      <c r="B68" s="281"/>
      <c r="C68" s="282"/>
      <c r="D68" s="281"/>
      <c r="E68" s="295"/>
      <c r="F68" s="296"/>
      <c r="G68" s="281"/>
      <c r="H68" s="281"/>
      <c r="I68" s="285"/>
      <c r="J68" s="286"/>
      <c r="K68" s="286"/>
      <c r="L68" s="286"/>
      <c r="M68" s="286"/>
      <c r="N68" s="304"/>
      <c r="O68" s="309"/>
      <c r="P68" s="307"/>
      <c r="Q68" s="308">
        <f t="shared" si="0"/>
        <v>0</v>
      </c>
      <c r="U68" s="303">
        <f t="shared" si="1"/>
        <v>0</v>
      </c>
      <c r="V68" s="303">
        <f t="shared" si="2"/>
        <v>0</v>
      </c>
      <c r="W68" s="303">
        <f t="shared" si="3"/>
        <v>0</v>
      </c>
      <c r="X68" s="303">
        <f t="shared" si="4"/>
        <v>0</v>
      </c>
    </row>
    <row r="69" spans="1:24" ht="9.75">
      <c r="A69" s="281"/>
      <c r="B69" s="281"/>
      <c r="C69" s="282"/>
      <c r="D69" s="281"/>
      <c r="E69" s="295"/>
      <c r="F69" s="296"/>
      <c r="G69" s="281"/>
      <c r="H69" s="281"/>
      <c r="I69" s="285"/>
      <c r="J69" s="286"/>
      <c r="K69" s="286"/>
      <c r="L69" s="286"/>
      <c r="M69" s="286"/>
      <c r="N69" s="304"/>
      <c r="O69" s="309"/>
      <c r="P69" s="307"/>
      <c r="Q69" s="308">
        <f t="shared" si="0"/>
        <v>0</v>
      </c>
      <c r="U69" s="303">
        <f t="shared" si="1"/>
        <v>0</v>
      </c>
      <c r="V69" s="303">
        <f t="shared" si="2"/>
        <v>0</v>
      </c>
      <c r="W69" s="303">
        <f t="shared" si="3"/>
        <v>0</v>
      </c>
      <c r="X69" s="303">
        <f t="shared" si="4"/>
        <v>0</v>
      </c>
    </row>
    <row r="70" spans="1:24" ht="9.75">
      <c r="A70" s="281"/>
      <c r="B70" s="281"/>
      <c r="C70" s="282"/>
      <c r="D70" s="281"/>
      <c r="E70" s="295"/>
      <c r="F70" s="296"/>
      <c r="G70" s="281"/>
      <c r="H70" s="281"/>
      <c r="I70" s="285"/>
      <c r="J70" s="286"/>
      <c r="K70" s="286"/>
      <c r="L70" s="286"/>
      <c r="M70" s="286"/>
      <c r="N70" s="304"/>
      <c r="O70" s="309"/>
      <c r="P70" s="307"/>
      <c r="Q70" s="308">
        <f t="shared" si="0"/>
        <v>0</v>
      </c>
      <c r="U70" s="303">
        <f t="shared" si="1"/>
        <v>0</v>
      </c>
      <c r="V70" s="303">
        <f t="shared" si="2"/>
        <v>0</v>
      </c>
      <c r="W70" s="303">
        <f t="shared" si="3"/>
        <v>0</v>
      </c>
      <c r="X70" s="303">
        <f t="shared" si="4"/>
        <v>0</v>
      </c>
    </row>
    <row r="71" spans="1:24" ht="9.75">
      <c r="A71" s="281"/>
      <c r="B71" s="281"/>
      <c r="C71" s="282"/>
      <c r="D71" s="281"/>
      <c r="E71" s="295"/>
      <c r="F71" s="296"/>
      <c r="G71" s="281"/>
      <c r="H71" s="281"/>
      <c r="I71" s="285"/>
      <c r="J71" s="286"/>
      <c r="K71" s="286"/>
      <c r="L71" s="286"/>
      <c r="M71" s="286"/>
      <c r="N71" s="304"/>
      <c r="O71" s="309"/>
      <c r="P71" s="307"/>
      <c r="Q71" s="308">
        <f t="shared" si="0"/>
        <v>0</v>
      </c>
      <c r="U71" s="303">
        <f t="shared" si="1"/>
        <v>0</v>
      </c>
      <c r="V71" s="303">
        <f t="shared" si="2"/>
        <v>0</v>
      </c>
      <c r="W71" s="303">
        <f t="shared" si="3"/>
        <v>0</v>
      </c>
      <c r="X71" s="303">
        <f t="shared" si="4"/>
        <v>0</v>
      </c>
    </row>
    <row r="72" spans="1:24" ht="9.75">
      <c r="A72" s="281"/>
      <c r="B72" s="281"/>
      <c r="C72" s="282"/>
      <c r="D72" s="281"/>
      <c r="E72" s="295"/>
      <c r="F72" s="296"/>
      <c r="G72" s="281"/>
      <c r="H72" s="281"/>
      <c r="I72" s="285"/>
      <c r="J72" s="286"/>
      <c r="K72" s="286"/>
      <c r="L72" s="286"/>
      <c r="M72" s="286"/>
      <c r="N72" s="304"/>
      <c r="O72" s="309"/>
      <c r="P72" s="307"/>
      <c r="Q72" s="308">
        <f t="shared" si="0"/>
        <v>0</v>
      </c>
      <c r="U72" s="303">
        <f t="shared" si="1"/>
        <v>0</v>
      </c>
      <c r="V72" s="303">
        <f t="shared" si="2"/>
        <v>0</v>
      </c>
      <c r="W72" s="303">
        <f t="shared" si="3"/>
        <v>0</v>
      </c>
      <c r="X72" s="303">
        <f t="shared" si="4"/>
        <v>0</v>
      </c>
    </row>
    <row r="73" spans="1:24" ht="9.75">
      <c r="A73" s="281"/>
      <c r="B73" s="281"/>
      <c r="C73" s="282"/>
      <c r="D73" s="281"/>
      <c r="E73" s="295"/>
      <c r="F73" s="296"/>
      <c r="G73" s="281"/>
      <c r="H73" s="281"/>
      <c r="I73" s="285"/>
      <c r="J73" s="286"/>
      <c r="K73" s="286"/>
      <c r="L73" s="286"/>
      <c r="M73" s="286"/>
      <c r="N73" s="304"/>
      <c r="O73" s="309"/>
      <c r="P73" s="307"/>
      <c r="Q73" s="308">
        <f t="shared" si="0"/>
        <v>0</v>
      </c>
      <c r="U73" s="303">
        <f t="shared" si="1"/>
        <v>0</v>
      </c>
      <c r="V73" s="303">
        <f t="shared" si="2"/>
        <v>0</v>
      </c>
      <c r="W73" s="303">
        <f t="shared" si="3"/>
        <v>0</v>
      </c>
      <c r="X73" s="303">
        <f t="shared" si="4"/>
        <v>0</v>
      </c>
    </row>
    <row r="74" spans="1:24" ht="9.75">
      <c r="A74" s="281"/>
      <c r="B74" s="281"/>
      <c r="C74" s="282"/>
      <c r="D74" s="281"/>
      <c r="E74" s="295"/>
      <c r="F74" s="296"/>
      <c r="G74" s="281"/>
      <c r="H74" s="281"/>
      <c r="I74" s="285"/>
      <c r="J74" s="286"/>
      <c r="K74" s="286"/>
      <c r="L74" s="286"/>
      <c r="M74" s="286"/>
      <c r="N74" s="304"/>
      <c r="O74" s="309"/>
      <c r="P74" s="307"/>
      <c r="Q74" s="308">
        <f t="shared" si="0"/>
        <v>0</v>
      </c>
      <c r="U74" s="303">
        <f t="shared" si="1"/>
        <v>0</v>
      </c>
      <c r="V74" s="303">
        <f t="shared" si="2"/>
        <v>0</v>
      </c>
      <c r="W74" s="303">
        <f t="shared" si="3"/>
        <v>0</v>
      </c>
      <c r="X74" s="303">
        <f t="shared" si="4"/>
        <v>0</v>
      </c>
    </row>
    <row r="75" spans="1:24" ht="9.75">
      <c r="A75" s="281"/>
      <c r="B75" s="281"/>
      <c r="C75" s="282"/>
      <c r="D75" s="281"/>
      <c r="E75" s="295"/>
      <c r="F75" s="296"/>
      <c r="G75" s="281"/>
      <c r="H75" s="281"/>
      <c r="I75" s="285"/>
      <c r="J75" s="286"/>
      <c r="K75" s="286"/>
      <c r="L75" s="286"/>
      <c r="M75" s="286"/>
      <c r="N75" s="304"/>
      <c r="O75" s="309"/>
      <c r="P75" s="307"/>
      <c r="Q75" s="308">
        <f t="shared" si="0"/>
        <v>0</v>
      </c>
      <c r="U75" s="303">
        <f t="shared" si="1"/>
        <v>0</v>
      </c>
      <c r="V75" s="303">
        <f t="shared" si="2"/>
        <v>0</v>
      </c>
      <c r="W75" s="303">
        <f t="shared" si="3"/>
        <v>0</v>
      </c>
      <c r="X75" s="303">
        <f t="shared" si="4"/>
        <v>0</v>
      </c>
    </row>
    <row r="76" spans="1:24" ht="9.75">
      <c r="A76" s="281"/>
      <c r="B76" s="281"/>
      <c r="C76" s="282"/>
      <c r="D76" s="281"/>
      <c r="E76" s="295"/>
      <c r="F76" s="296"/>
      <c r="G76" s="281"/>
      <c r="H76" s="281"/>
      <c r="I76" s="285"/>
      <c r="J76" s="286"/>
      <c r="K76" s="286"/>
      <c r="L76" s="286"/>
      <c r="M76" s="286"/>
      <c r="N76" s="304"/>
      <c r="O76" s="309"/>
      <c r="P76" s="307"/>
      <c r="Q76" s="308">
        <f aca="true" t="shared" si="5" ref="Q76:Q101">IF(O76="",0,O76+P76)</f>
        <v>0</v>
      </c>
      <c r="U76" s="303">
        <f aca="true" t="shared" si="6" ref="U76:U101">FLOOR(IF($N76="Ano",IF($H76&lt;&gt;"",$L76+Q76,0),0),1)</f>
        <v>0</v>
      </c>
      <c r="V76" s="303">
        <f aca="true" t="shared" si="7" ref="V76:V101">FLOOR(IF($N76="Ne",IF($H76&lt;&gt;"",$L76+Q76,0),0),1)</f>
        <v>0</v>
      </c>
      <c r="W76" s="303">
        <f aca="true" t="shared" si="8" ref="W76:W101">FLOOR(IF($N76="Ano",IF($G76&lt;&gt;"",$L76+Q76,0),0),1)</f>
        <v>0</v>
      </c>
      <c r="X76" s="303">
        <f aca="true" t="shared" si="9" ref="X76:X101">FLOOR(IF($N76="Ne",IF($G76&lt;&gt;"",$L76+Q76,0),0),1)</f>
        <v>0</v>
      </c>
    </row>
    <row r="77" spans="1:24" ht="9.75">
      <c r="A77" s="281"/>
      <c r="B77" s="281"/>
      <c r="C77" s="282"/>
      <c r="D77" s="281"/>
      <c r="E77" s="295"/>
      <c r="F77" s="296"/>
      <c r="G77" s="281"/>
      <c r="H77" s="281"/>
      <c r="I77" s="285"/>
      <c r="J77" s="286"/>
      <c r="K77" s="286"/>
      <c r="L77" s="286"/>
      <c r="M77" s="286"/>
      <c r="N77" s="304"/>
      <c r="O77" s="309"/>
      <c r="P77" s="307"/>
      <c r="Q77" s="308">
        <f t="shared" si="5"/>
        <v>0</v>
      </c>
      <c r="U77" s="303">
        <f t="shared" si="6"/>
        <v>0</v>
      </c>
      <c r="V77" s="303">
        <f t="shared" si="7"/>
        <v>0</v>
      </c>
      <c r="W77" s="303">
        <f t="shared" si="8"/>
        <v>0</v>
      </c>
      <c r="X77" s="303">
        <f t="shared" si="9"/>
        <v>0</v>
      </c>
    </row>
    <row r="78" spans="1:24" ht="9.75">
      <c r="A78" s="281"/>
      <c r="B78" s="281"/>
      <c r="C78" s="282"/>
      <c r="D78" s="281"/>
      <c r="E78" s="295"/>
      <c r="F78" s="296"/>
      <c r="G78" s="281"/>
      <c r="H78" s="281"/>
      <c r="I78" s="285"/>
      <c r="J78" s="286"/>
      <c r="K78" s="286"/>
      <c r="L78" s="286"/>
      <c r="M78" s="286"/>
      <c r="N78" s="304"/>
      <c r="O78" s="309"/>
      <c r="P78" s="307"/>
      <c r="Q78" s="308">
        <f t="shared" si="5"/>
        <v>0</v>
      </c>
      <c r="U78" s="303">
        <f t="shared" si="6"/>
        <v>0</v>
      </c>
      <c r="V78" s="303">
        <f t="shared" si="7"/>
        <v>0</v>
      </c>
      <c r="W78" s="303">
        <f t="shared" si="8"/>
        <v>0</v>
      </c>
      <c r="X78" s="303">
        <f t="shared" si="9"/>
        <v>0</v>
      </c>
    </row>
    <row r="79" spans="1:24" ht="9.75">
      <c r="A79" s="281"/>
      <c r="B79" s="281"/>
      <c r="C79" s="282"/>
      <c r="D79" s="281"/>
      <c r="E79" s="295"/>
      <c r="F79" s="296"/>
      <c r="G79" s="281"/>
      <c r="H79" s="281"/>
      <c r="I79" s="285"/>
      <c r="J79" s="286"/>
      <c r="K79" s="286"/>
      <c r="L79" s="286"/>
      <c r="M79" s="286"/>
      <c r="N79" s="304"/>
      <c r="O79" s="309"/>
      <c r="P79" s="307"/>
      <c r="Q79" s="308">
        <f t="shared" si="5"/>
        <v>0</v>
      </c>
      <c r="U79" s="303">
        <f t="shared" si="6"/>
        <v>0</v>
      </c>
      <c r="V79" s="303">
        <f t="shared" si="7"/>
        <v>0</v>
      </c>
      <c r="W79" s="303">
        <f t="shared" si="8"/>
        <v>0</v>
      </c>
      <c r="X79" s="303">
        <f t="shared" si="9"/>
        <v>0</v>
      </c>
    </row>
    <row r="80" spans="1:24" ht="9.75">
      <c r="A80" s="281"/>
      <c r="B80" s="281"/>
      <c r="C80" s="282"/>
      <c r="D80" s="281"/>
      <c r="E80" s="295"/>
      <c r="F80" s="296"/>
      <c r="G80" s="281"/>
      <c r="H80" s="281"/>
      <c r="I80" s="285"/>
      <c r="J80" s="286"/>
      <c r="K80" s="286"/>
      <c r="L80" s="286"/>
      <c r="M80" s="286"/>
      <c r="N80" s="304"/>
      <c r="O80" s="309"/>
      <c r="P80" s="307"/>
      <c r="Q80" s="308">
        <f t="shared" si="5"/>
        <v>0</v>
      </c>
      <c r="U80" s="303">
        <f t="shared" si="6"/>
        <v>0</v>
      </c>
      <c r="V80" s="303">
        <f t="shared" si="7"/>
        <v>0</v>
      </c>
      <c r="W80" s="303">
        <f t="shared" si="8"/>
        <v>0</v>
      </c>
      <c r="X80" s="303">
        <f t="shared" si="9"/>
        <v>0</v>
      </c>
    </row>
    <row r="81" spans="1:24" ht="9.75">
      <c r="A81" s="281"/>
      <c r="B81" s="281"/>
      <c r="C81" s="282"/>
      <c r="D81" s="281"/>
      <c r="E81" s="295"/>
      <c r="F81" s="296"/>
      <c r="G81" s="281"/>
      <c r="H81" s="281"/>
      <c r="I81" s="285"/>
      <c r="J81" s="286"/>
      <c r="K81" s="286"/>
      <c r="L81" s="286"/>
      <c r="M81" s="286"/>
      <c r="N81" s="304"/>
      <c r="O81" s="309"/>
      <c r="P81" s="307"/>
      <c r="Q81" s="308">
        <f t="shared" si="5"/>
        <v>0</v>
      </c>
      <c r="U81" s="303">
        <f t="shared" si="6"/>
        <v>0</v>
      </c>
      <c r="V81" s="303">
        <f t="shared" si="7"/>
        <v>0</v>
      </c>
      <c r="W81" s="303">
        <f t="shared" si="8"/>
        <v>0</v>
      </c>
      <c r="X81" s="303">
        <f t="shared" si="9"/>
        <v>0</v>
      </c>
    </row>
    <row r="82" spans="1:24" ht="9.75">
      <c r="A82" s="281"/>
      <c r="B82" s="281"/>
      <c r="C82" s="282"/>
      <c r="D82" s="281"/>
      <c r="E82" s="295"/>
      <c r="F82" s="296"/>
      <c r="G82" s="281"/>
      <c r="H82" s="281"/>
      <c r="I82" s="285"/>
      <c r="J82" s="286"/>
      <c r="K82" s="286"/>
      <c r="L82" s="286"/>
      <c r="M82" s="286"/>
      <c r="N82" s="304"/>
      <c r="O82" s="309"/>
      <c r="P82" s="307"/>
      <c r="Q82" s="308">
        <f t="shared" si="5"/>
        <v>0</v>
      </c>
      <c r="U82" s="303">
        <f t="shared" si="6"/>
        <v>0</v>
      </c>
      <c r="V82" s="303">
        <f t="shared" si="7"/>
        <v>0</v>
      </c>
      <c r="W82" s="303">
        <f t="shared" si="8"/>
        <v>0</v>
      </c>
      <c r="X82" s="303">
        <f t="shared" si="9"/>
        <v>0</v>
      </c>
    </row>
    <row r="83" spans="1:24" ht="9.75">
      <c r="A83" s="281"/>
      <c r="B83" s="281"/>
      <c r="C83" s="282"/>
      <c r="D83" s="281"/>
      <c r="E83" s="295"/>
      <c r="F83" s="296"/>
      <c r="G83" s="281"/>
      <c r="H83" s="281"/>
      <c r="I83" s="285"/>
      <c r="J83" s="286"/>
      <c r="K83" s="286"/>
      <c r="L83" s="286"/>
      <c r="M83" s="286"/>
      <c r="N83" s="304"/>
      <c r="O83" s="309"/>
      <c r="P83" s="307"/>
      <c r="Q83" s="308">
        <f t="shared" si="5"/>
        <v>0</v>
      </c>
      <c r="U83" s="303">
        <f t="shared" si="6"/>
        <v>0</v>
      </c>
      <c r="V83" s="303">
        <f t="shared" si="7"/>
        <v>0</v>
      </c>
      <c r="W83" s="303">
        <f t="shared" si="8"/>
        <v>0</v>
      </c>
      <c r="X83" s="303">
        <f t="shared" si="9"/>
        <v>0</v>
      </c>
    </row>
    <row r="84" spans="1:24" ht="9.75">
      <c r="A84" s="281"/>
      <c r="B84" s="281"/>
      <c r="C84" s="282"/>
      <c r="D84" s="281"/>
      <c r="E84" s="295"/>
      <c r="F84" s="296"/>
      <c r="G84" s="281"/>
      <c r="H84" s="281"/>
      <c r="I84" s="285"/>
      <c r="J84" s="286"/>
      <c r="K84" s="286"/>
      <c r="L84" s="286"/>
      <c r="M84" s="286"/>
      <c r="N84" s="304"/>
      <c r="O84" s="309"/>
      <c r="P84" s="307"/>
      <c r="Q84" s="308">
        <f t="shared" si="5"/>
        <v>0</v>
      </c>
      <c r="U84" s="303">
        <f t="shared" si="6"/>
        <v>0</v>
      </c>
      <c r="V84" s="303">
        <f t="shared" si="7"/>
        <v>0</v>
      </c>
      <c r="W84" s="303">
        <f t="shared" si="8"/>
        <v>0</v>
      </c>
      <c r="X84" s="303">
        <f t="shared" si="9"/>
        <v>0</v>
      </c>
    </row>
    <row r="85" spans="1:24" ht="9.75">
      <c r="A85" s="281"/>
      <c r="B85" s="281"/>
      <c r="C85" s="282"/>
      <c r="D85" s="281"/>
      <c r="E85" s="295"/>
      <c r="F85" s="296"/>
      <c r="G85" s="281"/>
      <c r="H85" s="281"/>
      <c r="I85" s="285"/>
      <c r="J85" s="286"/>
      <c r="K85" s="286"/>
      <c r="L85" s="286"/>
      <c r="M85" s="286"/>
      <c r="N85" s="304"/>
      <c r="O85" s="309"/>
      <c r="P85" s="307"/>
      <c r="Q85" s="308">
        <f t="shared" si="5"/>
        <v>0</v>
      </c>
      <c r="U85" s="303">
        <f t="shared" si="6"/>
        <v>0</v>
      </c>
      <c r="V85" s="303">
        <f t="shared" si="7"/>
        <v>0</v>
      </c>
      <c r="W85" s="303">
        <f t="shared" si="8"/>
        <v>0</v>
      </c>
      <c r="X85" s="303">
        <f t="shared" si="9"/>
        <v>0</v>
      </c>
    </row>
    <row r="86" spans="1:24" ht="9.75">
      <c r="A86" s="281"/>
      <c r="B86" s="281"/>
      <c r="C86" s="282"/>
      <c r="D86" s="281"/>
      <c r="E86" s="295"/>
      <c r="F86" s="296"/>
      <c r="G86" s="281"/>
      <c r="H86" s="281"/>
      <c r="I86" s="285"/>
      <c r="J86" s="286"/>
      <c r="K86" s="286"/>
      <c r="L86" s="286"/>
      <c r="M86" s="286"/>
      <c r="N86" s="304"/>
      <c r="O86" s="309"/>
      <c r="P86" s="307"/>
      <c r="Q86" s="308">
        <f t="shared" si="5"/>
        <v>0</v>
      </c>
      <c r="U86" s="303">
        <f t="shared" si="6"/>
        <v>0</v>
      </c>
      <c r="V86" s="303">
        <f t="shared" si="7"/>
        <v>0</v>
      </c>
      <c r="W86" s="303">
        <f t="shared" si="8"/>
        <v>0</v>
      </c>
      <c r="X86" s="303">
        <f t="shared" si="9"/>
        <v>0</v>
      </c>
    </row>
    <row r="87" spans="1:24" ht="9.75">
      <c r="A87" s="281"/>
      <c r="B87" s="281"/>
      <c r="C87" s="282"/>
      <c r="D87" s="281"/>
      <c r="E87" s="295"/>
      <c r="F87" s="296"/>
      <c r="G87" s="281"/>
      <c r="H87" s="281"/>
      <c r="I87" s="285"/>
      <c r="J87" s="286"/>
      <c r="K87" s="286"/>
      <c r="L87" s="286"/>
      <c r="M87" s="286"/>
      <c r="N87" s="304"/>
      <c r="O87" s="309"/>
      <c r="P87" s="307"/>
      <c r="Q87" s="308">
        <f t="shared" si="5"/>
        <v>0</v>
      </c>
      <c r="U87" s="303">
        <f t="shared" si="6"/>
        <v>0</v>
      </c>
      <c r="V87" s="303">
        <f t="shared" si="7"/>
        <v>0</v>
      </c>
      <c r="W87" s="303">
        <f t="shared" si="8"/>
        <v>0</v>
      </c>
      <c r="X87" s="303">
        <f t="shared" si="9"/>
        <v>0</v>
      </c>
    </row>
    <row r="88" spans="1:24" ht="9.75">
      <c r="A88" s="281"/>
      <c r="B88" s="281"/>
      <c r="C88" s="282"/>
      <c r="D88" s="281"/>
      <c r="E88" s="295"/>
      <c r="F88" s="296"/>
      <c r="G88" s="281"/>
      <c r="H88" s="281"/>
      <c r="I88" s="285"/>
      <c r="J88" s="286"/>
      <c r="K88" s="286"/>
      <c r="L88" s="286"/>
      <c r="M88" s="286"/>
      <c r="N88" s="304"/>
      <c r="O88" s="309"/>
      <c r="P88" s="307"/>
      <c r="Q88" s="308">
        <f t="shared" si="5"/>
        <v>0</v>
      </c>
      <c r="U88" s="303">
        <f t="shared" si="6"/>
        <v>0</v>
      </c>
      <c r="V88" s="303">
        <f t="shared" si="7"/>
        <v>0</v>
      </c>
      <c r="W88" s="303">
        <f t="shared" si="8"/>
        <v>0</v>
      </c>
      <c r="X88" s="303">
        <f t="shared" si="9"/>
        <v>0</v>
      </c>
    </row>
    <row r="89" spans="1:24" ht="9.75">
      <c r="A89" s="281"/>
      <c r="B89" s="281"/>
      <c r="C89" s="282"/>
      <c r="D89" s="281"/>
      <c r="E89" s="295"/>
      <c r="F89" s="296"/>
      <c r="G89" s="281"/>
      <c r="H89" s="281"/>
      <c r="I89" s="285"/>
      <c r="J89" s="286"/>
      <c r="K89" s="286"/>
      <c r="L89" s="286"/>
      <c r="M89" s="286"/>
      <c r="N89" s="304"/>
      <c r="O89" s="309"/>
      <c r="P89" s="307"/>
      <c r="Q89" s="308">
        <f t="shared" si="5"/>
        <v>0</v>
      </c>
      <c r="U89" s="303">
        <f t="shared" si="6"/>
        <v>0</v>
      </c>
      <c r="V89" s="303">
        <f t="shared" si="7"/>
        <v>0</v>
      </c>
      <c r="W89" s="303">
        <f t="shared" si="8"/>
        <v>0</v>
      </c>
      <c r="X89" s="303">
        <f t="shared" si="9"/>
        <v>0</v>
      </c>
    </row>
    <row r="90" spans="1:24" ht="9.75">
      <c r="A90" s="281"/>
      <c r="B90" s="281"/>
      <c r="C90" s="282"/>
      <c r="D90" s="281"/>
      <c r="E90" s="295"/>
      <c r="F90" s="296"/>
      <c r="G90" s="281"/>
      <c r="H90" s="281"/>
      <c r="I90" s="285"/>
      <c r="J90" s="286"/>
      <c r="K90" s="286"/>
      <c r="L90" s="286"/>
      <c r="M90" s="286"/>
      <c r="N90" s="304"/>
      <c r="O90" s="309"/>
      <c r="P90" s="307"/>
      <c r="Q90" s="308">
        <f t="shared" si="5"/>
        <v>0</v>
      </c>
      <c r="U90" s="303">
        <f t="shared" si="6"/>
        <v>0</v>
      </c>
      <c r="V90" s="303">
        <f t="shared" si="7"/>
        <v>0</v>
      </c>
      <c r="W90" s="303">
        <f t="shared" si="8"/>
        <v>0</v>
      </c>
      <c r="X90" s="303">
        <f t="shared" si="9"/>
        <v>0</v>
      </c>
    </row>
    <row r="91" spans="1:24" ht="9.75">
      <c r="A91" s="281"/>
      <c r="B91" s="281"/>
      <c r="C91" s="282"/>
      <c r="D91" s="281"/>
      <c r="E91" s="295"/>
      <c r="F91" s="296"/>
      <c r="G91" s="281"/>
      <c r="H91" s="281"/>
      <c r="I91" s="285"/>
      <c r="J91" s="286"/>
      <c r="K91" s="286"/>
      <c r="L91" s="286"/>
      <c r="M91" s="286"/>
      <c r="N91" s="304"/>
      <c r="O91" s="309"/>
      <c r="P91" s="307"/>
      <c r="Q91" s="308">
        <f t="shared" si="5"/>
        <v>0</v>
      </c>
      <c r="U91" s="303">
        <f t="shared" si="6"/>
        <v>0</v>
      </c>
      <c r="V91" s="303">
        <f t="shared" si="7"/>
        <v>0</v>
      </c>
      <c r="W91" s="303">
        <f t="shared" si="8"/>
        <v>0</v>
      </c>
      <c r="X91" s="303">
        <f t="shared" si="9"/>
        <v>0</v>
      </c>
    </row>
    <row r="92" spans="1:24" ht="9.75">
      <c r="A92" s="281"/>
      <c r="B92" s="281"/>
      <c r="C92" s="282"/>
      <c r="D92" s="281"/>
      <c r="E92" s="295"/>
      <c r="F92" s="296"/>
      <c r="G92" s="281"/>
      <c r="H92" s="281"/>
      <c r="I92" s="285"/>
      <c r="J92" s="286"/>
      <c r="K92" s="286"/>
      <c r="L92" s="286"/>
      <c r="M92" s="286"/>
      <c r="N92" s="304"/>
      <c r="O92" s="309"/>
      <c r="P92" s="307"/>
      <c r="Q92" s="308">
        <f t="shared" si="5"/>
        <v>0</v>
      </c>
      <c r="U92" s="303">
        <f t="shared" si="6"/>
        <v>0</v>
      </c>
      <c r="V92" s="303">
        <f t="shared" si="7"/>
        <v>0</v>
      </c>
      <c r="W92" s="303">
        <f t="shared" si="8"/>
        <v>0</v>
      </c>
      <c r="X92" s="303">
        <f t="shared" si="9"/>
        <v>0</v>
      </c>
    </row>
    <row r="93" spans="1:24" ht="9.75">
      <c r="A93" s="281"/>
      <c r="B93" s="281"/>
      <c r="C93" s="282"/>
      <c r="D93" s="281"/>
      <c r="E93" s="295"/>
      <c r="F93" s="296"/>
      <c r="G93" s="281"/>
      <c r="H93" s="281"/>
      <c r="I93" s="285"/>
      <c r="J93" s="286"/>
      <c r="K93" s="286"/>
      <c r="L93" s="286"/>
      <c r="M93" s="286"/>
      <c r="N93" s="304"/>
      <c r="O93" s="309"/>
      <c r="P93" s="307"/>
      <c r="Q93" s="308">
        <f t="shared" si="5"/>
        <v>0</v>
      </c>
      <c r="U93" s="303">
        <f t="shared" si="6"/>
        <v>0</v>
      </c>
      <c r="V93" s="303">
        <f t="shared" si="7"/>
        <v>0</v>
      </c>
      <c r="W93" s="303">
        <f t="shared" si="8"/>
        <v>0</v>
      </c>
      <c r="X93" s="303">
        <f t="shared" si="9"/>
        <v>0</v>
      </c>
    </row>
    <row r="94" spans="1:24" ht="9.75">
      <c r="A94" s="281"/>
      <c r="B94" s="281"/>
      <c r="C94" s="282"/>
      <c r="D94" s="281"/>
      <c r="E94" s="295"/>
      <c r="F94" s="296"/>
      <c r="G94" s="281"/>
      <c r="H94" s="281"/>
      <c r="I94" s="285"/>
      <c r="J94" s="286"/>
      <c r="K94" s="286"/>
      <c r="L94" s="286"/>
      <c r="M94" s="286"/>
      <c r="N94" s="304"/>
      <c r="O94" s="309"/>
      <c r="P94" s="307"/>
      <c r="Q94" s="308">
        <f t="shared" si="5"/>
        <v>0</v>
      </c>
      <c r="U94" s="303">
        <f t="shared" si="6"/>
        <v>0</v>
      </c>
      <c r="V94" s="303">
        <f t="shared" si="7"/>
        <v>0</v>
      </c>
      <c r="W94" s="303">
        <f t="shared" si="8"/>
        <v>0</v>
      </c>
      <c r="X94" s="303">
        <f t="shared" si="9"/>
        <v>0</v>
      </c>
    </row>
    <row r="95" spans="1:24" ht="9.75">
      <c r="A95" s="281"/>
      <c r="B95" s="281"/>
      <c r="C95" s="282"/>
      <c r="D95" s="281"/>
      <c r="E95" s="295"/>
      <c r="F95" s="296"/>
      <c r="G95" s="281"/>
      <c r="H95" s="281"/>
      <c r="I95" s="285"/>
      <c r="J95" s="286"/>
      <c r="K95" s="286"/>
      <c r="L95" s="286"/>
      <c r="M95" s="286"/>
      <c r="N95" s="304"/>
      <c r="O95" s="309"/>
      <c r="P95" s="307"/>
      <c r="Q95" s="308">
        <f t="shared" si="5"/>
        <v>0</v>
      </c>
      <c r="U95" s="303">
        <f t="shared" si="6"/>
        <v>0</v>
      </c>
      <c r="V95" s="303">
        <f t="shared" si="7"/>
        <v>0</v>
      </c>
      <c r="W95" s="303">
        <f t="shared" si="8"/>
        <v>0</v>
      </c>
      <c r="X95" s="303">
        <f t="shared" si="9"/>
        <v>0</v>
      </c>
    </row>
    <row r="96" spans="1:24" ht="9.75">
      <c r="A96" s="281"/>
      <c r="B96" s="281"/>
      <c r="C96" s="282"/>
      <c r="D96" s="281"/>
      <c r="E96" s="295"/>
      <c r="F96" s="296"/>
      <c r="G96" s="281"/>
      <c r="H96" s="281"/>
      <c r="I96" s="285"/>
      <c r="J96" s="286"/>
      <c r="K96" s="286"/>
      <c r="L96" s="286"/>
      <c r="M96" s="286"/>
      <c r="N96" s="304"/>
      <c r="O96" s="309"/>
      <c r="P96" s="307"/>
      <c r="Q96" s="308">
        <f t="shared" si="5"/>
        <v>0</v>
      </c>
      <c r="U96" s="303">
        <f t="shared" si="6"/>
        <v>0</v>
      </c>
      <c r="V96" s="303">
        <f t="shared" si="7"/>
        <v>0</v>
      </c>
      <c r="W96" s="303">
        <f t="shared" si="8"/>
        <v>0</v>
      </c>
      <c r="X96" s="303">
        <f t="shared" si="9"/>
        <v>0</v>
      </c>
    </row>
    <row r="97" spans="1:24" ht="9.75">
      <c r="A97" s="281"/>
      <c r="B97" s="281"/>
      <c r="C97" s="282"/>
      <c r="D97" s="281"/>
      <c r="E97" s="295"/>
      <c r="F97" s="296"/>
      <c r="G97" s="281"/>
      <c r="H97" s="281"/>
      <c r="I97" s="285"/>
      <c r="J97" s="286"/>
      <c r="K97" s="286"/>
      <c r="L97" s="286"/>
      <c r="M97" s="286"/>
      <c r="N97" s="304"/>
      <c r="O97" s="309"/>
      <c r="P97" s="307"/>
      <c r="Q97" s="308">
        <f t="shared" si="5"/>
        <v>0</v>
      </c>
      <c r="U97" s="303">
        <f t="shared" si="6"/>
        <v>0</v>
      </c>
      <c r="V97" s="303">
        <f t="shared" si="7"/>
        <v>0</v>
      </c>
      <c r="W97" s="303">
        <f t="shared" si="8"/>
        <v>0</v>
      </c>
      <c r="X97" s="303">
        <f t="shared" si="9"/>
        <v>0</v>
      </c>
    </row>
    <row r="98" spans="1:24" ht="9.75">
      <c r="A98" s="281"/>
      <c r="B98" s="281"/>
      <c r="C98" s="282"/>
      <c r="D98" s="281"/>
      <c r="E98" s="295"/>
      <c r="F98" s="296"/>
      <c r="G98" s="281"/>
      <c r="H98" s="281"/>
      <c r="I98" s="285"/>
      <c r="J98" s="286"/>
      <c r="K98" s="286"/>
      <c r="L98" s="286"/>
      <c r="M98" s="286"/>
      <c r="N98" s="304"/>
      <c r="O98" s="309"/>
      <c r="P98" s="307"/>
      <c r="Q98" s="308">
        <f t="shared" si="5"/>
        <v>0</v>
      </c>
      <c r="U98" s="303">
        <f t="shared" si="6"/>
        <v>0</v>
      </c>
      <c r="V98" s="303">
        <f t="shared" si="7"/>
        <v>0</v>
      </c>
      <c r="W98" s="303">
        <f t="shared" si="8"/>
        <v>0</v>
      </c>
      <c r="X98" s="303">
        <f t="shared" si="9"/>
        <v>0</v>
      </c>
    </row>
    <row r="99" spans="1:24" ht="9.75">
      <c r="A99" s="281"/>
      <c r="B99" s="281"/>
      <c r="C99" s="282"/>
      <c r="D99" s="281"/>
      <c r="E99" s="295"/>
      <c r="F99" s="296"/>
      <c r="G99" s="281"/>
      <c r="H99" s="281"/>
      <c r="I99" s="285"/>
      <c r="J99" s="286"/>
      <c r="K99" s="286"/>
      <c r="L99" s="286"/>
      <c r="M99" s="286"/>
      <c r="N99" s="304"/>
      <c r="O99" s="309"/>
      <c r="P99" s="307"/>
      <c r="Q99" s="308">
        <f t="shared" si="5"/>
        <v>0</v>
      </c>
      <c r="U99" s="303">
        <f t="shared" si="6"/>
        <v>0</v>
      </c>
      <c r="V99" s="303">
        <f t="shared" si="7"/>
        <v>0</v>
      </c>
      <c r="W99" s="303">
        <f t="shared" si="8"/>
        <v>0</v>
      </c>
      <c r="X99" s="303">
        <f t="shared" si="9"/>
        <v>0</v>
      </c>
    </row>
    <row r="100" spans="1:24" ht="9.75">
      <c r="A100" s="281"/>
      <c r="B100" s="281"/>
      <c r="C100" s="282"/>
      <c r="D100" s="281"/>
      <c r="E100" s="295"/>
      <c r="F100" s="296"/>
      <c r="G100" s="281"/>
      <c r="H100" s="281"/>
      <c r="I100" s="285"/>
      <c r="J100" s="286"/>
      <c r="K100" s="286"/>
      <c r="L100" s="286"/>
      <c r="M100" s="286"/>
      <c r="N100" s="304"/>
      <c r="O100" s="309"/>
      <c r="P100" s="307"/>
      <c r="Q100" s="308">
        <f t="shared" si="5"/>
        <v>0</v>
      </c>
      <c r="U100" s="303">
        <f t="shared" si="6"/>
        <v>0</v>
      </c>
      <c r="V100" s="303">
        <f t="shared" si="7"/>
        <v>0</v>
      </c>
      <c r="W100" s="303">
        <f t="shared" si="8"/>
        <v>0</v>
      </c>
      <c r="X100" s="303">
        <f t="shared" si="9"/>
        <v>0</v>
      </c>
    </row>
    <row r="101" spans="1:24" ht="9.75">
      <c r="A101" s="281"/>
      <c r="B101" s="281"/>
      <c r="C101" s="282"/>
      <c r="D101" s="281"/>
      <c r="E101" s="295"/>
      <c r="F101" s="296"/>
      <c r="G101" s="281"/>
      <c r="H101" s="281"/>
      <c r="I101" s="298"/>
      <c r="J101" s="286"/>
      <c r="K101" s="286"/>
      <c r="L101" s="286"/>
      <c r="M101" s="286"/>
      <c r="N101" s="304"/>
      <c r="O101" s="309"/>
      <c r="P101" s="307"/>
      <c r="Q101" s="308">
        <f t="shared" si="5"/>
        <v>0</v>
      </c>
      <c r="U101" s="303">
        <f t="shared" si="6"/>
        <v>0</v>
      </c>
      <c r="V101" s="303">
        <f t="shared" si="7"/>
        <v>0</v>
      </c>
      <c r="W101" s="303">
        <f t="shared" si="8"/>
        <v>0</v>
      </c>
      <c r="X101" s="303">
        <f t="shared" si="9"/>
        <v>0</v>
      </c>
    </row>
    <row r="102" spans="8:24" ht="3.75" customHeight="1">
      <c r="H102" s="185"/>
      <c r="O102" s="186"/>
      <c r="P102" s="185"/>
      <c r="Q102" s="302"/>
      <c r="U102" s="303"/>
      <c r="V102" s="303"/>
      <c r="W102" s="303"/>
      <c r="X102" s="303"/>
    </row>
    <row r="103" spans="15:24" ht="9.75">
      <c r="O103" s="356">
        <f>SUM(O11:O102)</f>
        <v>0</v>
      </c>
      <c r="P103" s="312">
        <f>SUM(P11:P102)</f>
        <v>0</v>
      </c>
      <c r="Q103" s="313">
        <f>SUM(Q11:Q102)</f>
        <v>0</v>
      </c>
      <c r="U103" s="303">
        <f>SUM(U11:U101)</f>
        <v>0</v>
      </c>
      <c r="V103" s="303">
        <f>SUM(V11:V101)</f>
        <v>0</v>
      </c>
      <c r="W103" s="303">
        <f>SUM(W11:W101)</f>
        <v>0</v>
      </c>
      <c r="X103" s="303">
        <f>SUM(X11:X101)</f>
        <v>0</v>
      </c>
    </row>
    <row r="104" spans="15:17" ht="9.75">
      <c r="O104" s="314"/>
      <c r="P104" s="315"/>
      <c r="Q104" s="316"/>
    </row>
    <row r="105" spans="19:21" ht="9.75">
      <c r="S105" s="189"/>
      <c r="T105" s="189"/>
      <c r="U105" s="189"/>
    </row>
    <row r="106" spans="19:21" ht="9.75">
      <c r="S106" s="189"/>
      <c r="T106" s="189"/>
      <c r="U106" s="189"/>
    </row>
    <row r="107" spans="16:21" ht="9.75">
      <c r="P107" s="190"/>
      <c r="Q107" s="190"/>
      <c r="R107" s="190"/>
      <c r="S107" s="189"/>
      <c r="T107" s="189"/>
      <c r="U107" s="189"/>
    </row>
    <row r="108" spans="5:21" ht="12" customHeight="1">
      <c r="E108" s="516" t="s">
        <v>301</v>
      </c>
      <c r="F108" s="517"/>
      <c r="G108" s="517"/>
      <c r="H108" s="517"/>
      <c r="I108" s="517"/>
      <c r="J108" s="518"/>
      <c r="K108" s="305"/>
      <c r="L108" s="305">
        <f>U103</f>
        <v>0</v>
      </c>
      <c r="M108" s="305"/>
      <c r="N108" s="305"/>
      <c r="O108" s="305"/>
      <c r="P108" s="305"/>
      <c r="Q108" s="305"/>
      <c r="R108" s="216"/>
      <c r="S108" s="189"/>
      <c r="T108" s="189"/>
      <c r="U108" s="189"/>
    </row>
    <row r="109" spans="5:21" ht="12" customHeight="1">
      <c r="E109" s="516" t="s">
        <v>302</v>
      </c>
      <c r="F109" s="517"/>
      <c r="G109" s="517"/>
      <c r="H109" s="517"/>
      <c r="I109" s="517"/>
      <c r="J109" s="518"/>
      <c r="K109" s="305"/>
      <c r="L109" s="305">
        <f>W103</f>
        <v>0</v>
      </c>
      <c r="M109" s="305"/>
      <c r="N109" s="305"/>
      <c r="O109" s="305"/>
      <c r="P109" s="305"/>
      <c r="Q109" s="305"/>
      <c r="R109" s="216"/>
      <c r="S109" s="189"/>
      <c r="T109" s="189"/>
      <c r="U109" s="189"/>
    </row>
    <row r="110" spans="5:21" ht="12" customHeight="1">
      <c r="E110" s="516" t="s">
        <v>303</v>
      </c>
      <c r="F110" s="517"/>
      <c r="G110" s="517"/>
      <c r="H110" s="517"/>
      <c r="I110" s="517"/>
      <c r="J110" s="518"/>
      <c r="K110" s="305"/>
      <c r="L110" s="305">
        <f>V103</f>
        <v>0</v>
      </c>
      <c r="M110" s="305"/>
      <c r="N110" s="305"/>
      <c r="O110" s="305"/>
      <c r="P110" s="305"/>
      <c r="Q110" s="305"/>
      <c r="R110" s="216"/>
      <c r="S110" s="189"/>
      <c r="T110" s="189"/>
      <c r="U110" s="189"/>
    </row>
    <row r="111" spans="5:21" ht="12" customHeight="1">
      <c r="E111" s="516" t="s">
        <v>304</v>
      </c>
      <c r="F111" s="517"/>
      <c r="G111" s="517"/>
      <c r="H111" s="517"/>
      <c r="I111" s="517"/>
      <c r="J111" s="518"/>
      <c r="K111" s="305"/>
      <c r="L111" s="305">
        <f>X103</f>
        <v>0</v>
      </c>
      <c r="M111" s="305"/>
      <c r="N111" s="305"/>
      <c r="O111" s="305"/>
      <c r="P111" s="305"/>
      <c r="Q111" s="305"/>
      <c r="R111" s="216"/>
      <c r="S111" s="189"/>
      <c r="T111" s="189"/>
      <c r="U111" s="189"/>
    </row>
    <row r="112" spans="5:21" ht="12" customHeight="1">
      <c r="E112" s="516" t="s">
        <v>98</v>
      </c>
      <c r="F112" s="517"/>
      <c r="G112" s="517"/>
      <c r="H112" s="517"/>
      <c r="I112" s="517"/>
      <c r="J112" s="518"/>
      <c r="K112" s="305"/>
      <c r="L112" s="305">
        <f>SUMIF(I11:I101,"=Ne",L11:L101)</f>
        <v>0</v>
      </c>
      <c r="M112" s="305"/>
      <c r="N112" s="305"/>
      <c r="O112" s="305"/>
      <c r="P112" s="305"/>
      <c r="Q112" s="305"/>
      <c r="R112" s="216"/>
      <c r="S112" s="189"/>
      <c r="T112" s="189"/>
      <c r="U112" s="189"/>
    </row>
    <row r="113" spans="16:21" ht="9.75">
      <c r="P113" s="190"/>
      <c r="Q113" s="190"/>
      <c r="R113" s="190"/>
      <c r="S113" s="189"/>
      <c r="T113" s="189"/>
      <c r="U113" s="189"/>
    </row>
    <row r="114" spans="11:21" ht="9.75">
      <c r="K114" s="533" t="s">
        <v>99</v>
      </c>
      <c r="L114" s="533"/>
      <c r="M114" s="533"/>
      <c r="N114" s="533"/>
      <c r="O114" s="533"/>
      <c r="P114" s="191">
        <f>(L108+L112)-(O108+O112+P108+P112+Q108+Q112)</f>
        <v>0</v>
      </c>
      <c r="Q114" s="192"/>
      <c r="R114" s="192"/>
      <c r="S114" s="189"/>
      <c r="T114" s="189"/>
      <c r="U114" s="189"/>
    </row>
    <row r="115" spans="11:21" ht="9.75">
      <c r="K115" s="358"/>
      <c r="L115" s="358"/>
      <c r="M115" s="358"/>
      <c r="N115" s="358"/>
      <c r="O115" s="358"/>
      <c r="P115" s="192"/>
      <c r="Q115" s="192"/>
      <c r="R115" s="192"/>
      <c r="S115" s="189"/>
      <c r="T115" s="189"/>
      <c r="U115" s="189"/>
    </row>
    <row r="116" spans="12:21" ht="9.75">
      <c r="L116" s="320"/>
      <c r="M116" s="320"/>
      <c r="N116" s="320"/>
      <c r="O116" s="320" t="s">
        <v>4</v>
      </c>
      <c r="P116" s="321" t="s">
        <v>12</v>
      </c>
      <c r="Q116" s="321"/>
      <c r="R116" s="190"/>
      <c r="S116" s="189"/>
      <c r="T116" s="189"/>
      <c r="U116" s="189"/>
    </row>
    <row r="117" spans="5:21" ht="12" customHeight="1">
      <c r="E117" s="534" t="s">
        <v>236</v>
      </c>
      <c r="F117" s="534"/>
      <c r="G117" s="534"/>
      <c r="H117" s="534"/>
      <c r="I117" s="534"/>
      <c r="J117" s="534"/>
      <c r="K117" s="534"/>
      <c r="L117" s="322">
        <f>L122+L125</f>
        <v>0</v>
      </c>
      <c r="M117" s="323"/>
      <c r="N117" s="323"/>
      <c r="O117" s="324">
        <f aca="true" t="shared" si="10" ref="O117:P119">O122+O125</f>
        <v>0</v>
      </c>
      <c r="P117" s="324">
        <f t="shared" si="10"/>
        <v>0</v>
      </c>
      <c r="Q117" s="189"/>
      <c r="R117" s="190"/>
      <c r="S117" s="189"/>
      <c r="T117" s="189"/>
      <c r="U117" s="189"/>
    </row>
    <row r="118" spans="5:21" ht="12" customHeight="1">
      <c r="E118" s="534" t="s">
        <v>237</v>
      </c>
      <c r="F118" s="534"/>
      <c r="G118" s="534"/>
      <c r="H118" s="534"/>
      <c r="I118" s="534"/>
      <c r="J118" s="534"/>
      <c r="K118" s="534"/>
      <c r="L118" s="322">
        <f>O118+P118+Q118</f>
        <v>0</v>
      </c>
      <c r="M118" s="323"/>
      <c r="N118" s="323"/>
      <c r="O118" s="324">
        <f t="shared" si="10"/>
        <v>0</v>
      </c>
      <c r="P118" s="324">
        <f t="shared" si="10"/>
        <v>0</v>
      </c>
      <c r="Q118" s="189"/>
      <c r="R118" s="190"/>
      <c r="S118" s="189"/>
      <c r="T118" s="189"/>
      <c r="U118" s="189"/>
    </row>
    <row r="119" spans="5:21" ht="12" customHeight="1">
      <c r="E119" s="534" t="s">
        <v>238</v>
      </c>
      <c r="F119" s="534"/>
      <c r="G119" s="534"/>
      <c r="H119" s="534"/>
      <c r="I119" s="534"/>
      <c r="J119" s="534"/>
      <c r="K119" s="534"/>
      <c r="L119" s="322">
        <f>O119+P119+Q119</f>
        <v>0</v>
      </c>
      <c r="M119" s="323"/>
      <c r="N119" s="323"/>
      <c r="O119" s="324">
        <f t="shared" si="10"/>
        <v>0</v>
      </c>
      <c r="P119" s="324">
        <f t="shared" si="10"/>
        <v>0</v>
      </c>
      <c r="Q119" s="189"/>
      <c r="R119" s="190"/>
      <c r="S119" s="189"/>
      <c r="T119" s="189"/>
      <c r="U119" s="189"/>
    </row>
    <row r="120" spans="5:21" ht="9.75">
      <c r="E120" s="317"/>
      <c r="F120" s="319"/>
      <c r="G120" s="317"/>
      <c r="H120" s="317"/>
      <c r="I120" s="318"/>
      <c r="J120" s="317"/>
      <c r="K120" s="317"/>
      <c r="L120" s="325"/>
      <c r="M120" s="325"/>
      <c r="N120" s="325"/>
      <c r="O120" s="325"/>
      <c r="P120" s="326"/>
      <c r="Q120" s="189"/>
      <c r="R120" s="190"/>
      <c r="S120" s="189"/>
      <c r="T120" s="189"/>
      <c r="U120" s="189"/>
    </row>
    <row r="121" spans="5:21" ht="9.75">
      <c r="E121" s="317"/>
      <c r="F121" s="319"/>
      <c r="G121" s="317"/>
      <c r="H121" s="317"/>
      <c r="I121" s="318"/>
      <c r="J121" s="317"/>
      <c r="K121" s="317"/>
      <c r="L121" s="325"/>
      <c r="M121" s="325"/>
      <c r="N121" s="325"/>
      <c r="O121" s="325"/>
      <c r="P121" s="326"/>
      <c r="Q121" s="189"/>
      <c r="R121" s="190"/>
      <c r="S121" s="189"/>
      <c r="T121" s="189"/>
      <c r="U121" s="189"/>
    </row>
    <row r="122" spans="5:21" ht="12" customHeight="1">
      <c r="E122" s="512" t="s">
        <v>245</v>
      </c>
      <c r="F122" s="512"/>
      <c r="G122" s="512"/>
      <c r="H122" s="512"/>
      <c r="I122" s="512"/>
      <c r="J122" s="512"/>
      <c r="K122" s="512"/>
      <c r="L122" s="322">
        <f>L123+L124</f>
        <v>0</v>
      </c>
      <c r="M122" s="323"/>
      <c r="N122" s="323"/>
      <c r="O122" s="324">
        <f>O123+O124</f>
        <v>0</v>
      </c>
      <c r="P122" s="324">
        <f>P123+P124</f>
        <v>0</v>
      </c>
      <c r="Q122" s="189"/>
      <c r="R122" s="190"/>
      <c r="S122" s="189"/>
      <c r="T122" s="189"/>
      <c r="U122" s="189"/>
    </row>
    <row r="123" spans="5:21" ht="12" customHeight="1">
      <c r="E123" s="509" t="s">
        <v>247</v>
      </c>
      <c r="F123" s="510"/>
      <c r="G123" s="510"/>
      <c r="H123" s="510"/>
      <c r="I123" s="510"/>
      <c r="J123" s="510"/>
      <c r="K123" s="511"/>
      <c r="L123" s="322">
        <f>U103</f>
        <v>0</v>
      </c>
      <c r="M123" s="323"/>
      <c r="N123" s="323"/>
      <c r="O123" s="324">
        <f>FLOOR(D6/100*U103,1)</f>
        <v>0</v>
      </c>
      <c r="P123" s="324">
        <f>L123-O123</f>
        <v>0</v>
      </c>
      <c r="Q123" s="189"/>
      <c r="R123" s="190"/>
      <c r="T123" s="189"/>
      <c r="U123" s="189"/>
    </row>
    <row r="124" spans="5:21" ht="12" customHeight="1">
      <c r="E124" s="509" t="s">
        <v>248</v>
      </c>
      <c r="F124" s="510"/>
      <c r="G124" s="510"/>
      <c r="H124" s="510"/>
      <c r="I124" s="510"/>
      <c r="J124" s="510"/>
      <c r="K124" s="511"/>
      <c r="L124" s="322">
        <f>FLOOR(V103,1)</f>
        <v>0</v>
      </c>
      <c r="M124" s="323"/>
      <c r="N124" s="323"/>
      <c r="O124" s="324">
        <f>FLOOR(D6/100*V103,1)</f>
        <v>0</v>
      </c>
      <c r="P124" s="324">
        <f>L124-O124</f>
        <v>0</v>
      </c>
      <c r="Q124" s="189"/>
      <c r="R124" s="190"/>
      <c r="S124" s="189"/>
      <c r="T124" s="189"/>
      <c r="U124" s="189"/>
    </row>
    <row r="125" spans="5:21" ht="12" customHeight="1">
      <c r="E125" s="512" t="s">
        <v>246</v>
      </c>
      <c r="F125" s="512"/>
      <c r="G125" s="512"/>
      <c r="H125" s="512"/>
      <c r="I125" s="512"/>
      <c r="J125" s="512"/>
      <c r="K125" s="512"/>
      <c r="L125" s="322">
        <f>FLOOR(W103+X103,1)</f>
        <v>0</v>
      </c>
      <c r="M125" s="323"/>
      <c r="N125" s="323"/>
      <c r="O125" s="324">
        <f>O126+O127</f>
        <v>0</v>
      </c>
      <c r="P125" s="324">
        <f>P126+P127</f>
        <v>0</v>
      </c>
      <c r="Q125" s="189"/>
      <c r="R125" s="190"/>
      <c r="S125" s="189"/>
      <c r="T125" s="189"/>
      <c r="U125" s="189"/>
    </row>
    <row r="126" spans="5:21" ht="12" customHeight="1">
      <c r="E126" s="509" t="s">
        <v>249</v>
      </c>
      <c r="F126" s="510"/>
      <c r="G126" s="510"/>
      <c r="H126" s="510"/>
      <c r="I126" s="510"/>
      <c r="J126" s="510"/>
      <c r="K126" s="511"/>
      <c r="L126" s="322">
        <f>FLOOR(W103,1)</f>
        <v>0</v>
      </c>
      <c r="M126" s="323"/>
      <c r="N126" s="323"/>
      <c r="O126" s="324">
        <f>FLOOR(D6/100*W103,1)</f>
        <v>0</v>
      </c>
      <c r="P126" s="324">
        <f>L126-O126</f>
        <v>0</v>
      </c>
      <c r="Q126" s="189"/>
      <c r="R126" s="190"/>
      <c r="S126" s="357"/>
      <c r="T126" s="189"/>
      <c r="U126" s="189"/>
    </row>
    <row r="127" spans="5:21" ht="12" customHeight="1">
      <c r="E127" s="509" t="s">
        <v>250</v>
      </c>
      <c r="F127" s="510"/>
      <c r="G127" s="510"/>
      <c r="H127" s="510"/>
      <c r="I127" s="510"/>
      <c r="J127" s="510"/>
      <c r="K127" s="511"/>
      <c r="L127" s="322">
        <f>FLOOR(X103,1)</f>
        <v>0</v>
      </c>
      <c r="M127" s="323"/>
      <c r="N127" s="323"/>
      <c r="O127" s="324">
        <f>FLOOR(D6/100*X103,1)</f>
        <v>0</v>
      </c>
      <c r="P127" s="324">
        <f>L127-O127</f>
        <v>0</v>
      </c>
      <c r="Q127" s="189"/>
      <c r="R127" s="190"/>
      <c r="S127" s="189"/>
      <c r="T127" s="189"/>
      <c r="U127" s="189"/>
    </row>
    <row r="128" spans="16:21" ht="9.75">
      <c r="P128" s="190"/>
      <c r="Q128" s="190"/>
      <c r="R128" s="190"/>
      <c r="S128" s="189"/>
      <c r="T128" s="189"/>
      <c r="U128" s="189"/>
    </row>
    <row r="129" spans="3:21" ht="9.75">
      <c r="C129" s="497" t="s">
        <v>100</v>
      </c>
      <c r="D129" s="497" t="s">
        <v>101</v>
      </c>
      <c r="E129" s="496" t="s">
        <v>102</v>
      </c>
      <c r="F129" s="496"/>
      <c r="G129" s="497"/>
      <c r="H129" s="497"/>
      <c r="I129" s="497" t="s">
        <v>103</v>
      </c>
      <c r="J129" s="497"/>
      <c r="K129" s="496"/>
      <c r="L129" s="497"/>
      <c r="M129" s="299"/>
      <c r="N129" s="299"/>
      <c r="O129" s="500" t="s">
        <v>104</v>
      </c>
      <c r="P129" s="503"/>
      <c r="Q129" s="306"/>
      <c r="R129" s="306"/>
      <c r="S129" s="306"/>
      <c r="T129" s="306"/>
      <c r="U129" s="306"/>
    </row>
    <row r="130" spans="3:21" ht="12.75" customHeight="1">
      <c r="C130" s="498"/>
      <c r="D130" s="498"/>
      <c r="E130" s="498"/>
      <c r="F130" s="498"/>
      <c r="G130" s="498"/>
      <c r="H130" s="498"/>
      <c r="I130" s="498"/>
      <c r="J130" s="498"/>
      <c r="K130" s="498"/>
      <c r="L130" s="498"/>
      <c r="M130" s="300"/>
      <c r="N130" s="300"/>
      <c r="O130" s="501"/>
      <c r="P130" s="504"/>
      <c r="Q130" s="306"/>
      <c r="R130" s="306"/>
      <c r="S130" s="306"/>
      <c r="T130" s="306"/>
      <c r="U130" s="306"/>
    </row>
    <row r="131" spans="3:21" ht="12.75" customHeight="1">
      <c r="C131" s="499"/>
      <c r="D131" s="499"/>
      <c r="E131" s="499"/>
      <c r="F131" s="499"/>
      <c r="G131" s="499"/>
      <c r="H131" s="499"/>
      <c r="I131" s="499"/>
      <c r="J131" s="499"/>
      <c r="K131" s="499"/>
      <c r="L131" s="499"/>
      <c r="M131" s="301"/>
      <c r="N131" s="301"/>
      <c r="O131" s="502"/>
      <c r="P131" s="505"/>
      <c r="Q131" s="306"/>
      <c r="R131" s="306"/>
      <c r="S131" s="306"/>
      <c r="T131" s="306"/>
      <c r="U131" s="306"/>
    </row>
    <row r="134" spans="3:17" ht="9.75">
      <c r="C134" s="506" t="s">
        <v>251</v>
      </c>
      <c r="D134" s="497" t="s">
        <v>252</v>
      </c>
      <c r="E134" s="496" t="s">
        <v>102</v>
      </c>
      <c r="F134" s="496"/>
      <c r="G134" s="497"/>
      <c r="H134" s="497"/>
      <c r="I134" s="497" t="s">
        <v>103</v>
      </c>
      <c r="J134" s="497"/>
      <c r="K134" s="496"/>
      <c r="L134" s="497"/>
      <c r="M134" s="299"/>
      <c r="N134" s="299"/>
      <c r="O134" s="500" t="s">
        <v>104</v>
      </c>
      <c r="P134" s="503"/>
      <c r="Q134" s="306"/>
    </row>
    <row r="135" spans="3:17" ht="12.75" customHeight="1">
      <c r="C135" s="507"/>
      <c r="D135" s="498"/>
      <c r="E135" s="498"/>
      <c r="F135" s="498"/>
      <c r="G135" s="498"/>
      <c r="H135" s="498"/>
      <c r="I135" s="498"/>
      <c r="J135" s="498"/>
      <c r="K135" s="498"/>
      <c r="L135" s="498"/>
      <c r="M135" s="300"/>
      <c r="N135" s="300"/>
      <c r="O135" s="501"/>
      <c r="P135" s="504"/>
      <c r="Q135" s="306"/>
    </row>
    <row r="136" spans="3:17" ht="12.75" customHeight="1">
      <c r="C136" s="508"/>
      <c r="D136" s="499"/>
      <c r="E136" s="499"/>
      <c r="F136" s="499"/>
      <c r="G136" s="499"/>
      <c r="H136" s="499"/>
      <c r="I136" s="499"/>
      <c r="J136" s="499"/>
      <c r="K136" s="499"/>
      <c r="L136" s="499"/>
      <c r="M136" s="301"/>
      <c r="N136" s="301"/>
      <c r="O136" s="502"/>
      <c r="P136" s="505"/>
      <c r="Q136" s="306"/>
    </row>
  </sheetData>
  <sheetProtection selectLockedCells="1"/>
  <protectedRanges>
    <protectedRange sqref="E129:F129 Q134 Q129:R129 E134:F134" name="Oblast3_1"/>
    <protectedRange sqref="C11:C101 D11:F50 D52:F101 G11:G101 H11:H102 I11:N101" name="Oblast2_1"/>
  </protectedRanges>
  <mergeCells count="52">
    <mergeCell ref="E122:K122"/>
    <mergeCell ref="E123:K123"/>
    <mergeCell ref="A1:C1"/>
    <mergeCell ref="D1:H1"/>
    <mergeCell ref="I1:K1"/>
    <mergeCell ref="A3:C3"/>
    <mergeCell ref="A9:A10"/>
    <mergeCell ref="B9:B10"/>
    <mergeCell ref="F9:F10"/>
    <mergeCell ref="I9:I10"/>
    <mergeCell ref="E118:K118"/>
    <mergeCell ref="E119:K119"/>
    <mergeCell ref="E111:J111"/>
    <mergeCell ref="E112:J112"/>
    <mergeCell ref="K114:O114"/>
    <mergeCell ref="E117:K117"/>
    <mergeCell ref="L9:L10"/>
    <mergeCell ref="M9:M10"/>
    <mergeCell ref="J9:J10"/>
    <mergeCell ref="K9:K10"/>
    <mergeCell ref="N9:N10"/>
    <mergeCell ref="B5:C6"/>
    <mergeCell ref="L1:S1"/>
    <mergeCell ref="A2:C2"/>
    <mergeCell ref="D2:H2"/>
    <mergeCell ref="I2:K2"/>
    <mergeCell ref="L2:S2"/>
    <mergeCell ref="O9:Q9"/>
    <mergeCell ref="E108:J108"/>
    <mergeCell ref="E109:J109"/>
    <mergeCell ref="E110:J110"/>
    <mergeCell ref="D3:H3"/>
    <mergeCell ref="I3:K3"/>
    <mergeCell ref="L3:S3"/>
    <mergeCell ref="C129:C131"/>
    <mergeCell ref="D129:D131"/>
    <mergeCell ref="E129:H131"/>
    <mergeCell ref="I129:J131"/>
    <mergeCell ref="E124:K124"/>
    <mergeCell ref="E125:K125"/>
    <mergeCell ref="E126:K126"/>
    <mergeCell ref="E127:K127"/>
    <mergeCell ref="K129:L131"/>
    <mergeCell ref="O129:O131"/>
    <mergeCell ref="P129:P131"/>
    <mergeCell ref="C134:C136"/>
    <mergeCell ref="D134:D136"/>
    <mergeCell ref="E134:H136"/>
    <mergeCell ref="I134:J136"/>
    <mergeCell ref="K134:L136"/>
    <mergeCell ref="O134:O136"/>
    <mergeCell ref="P134:P136"/>
  </mergeCells>
  <conditionalFormatting sqref="N12">
    <cfRule type="cellIs" priority="1" dxfId="0" operator="equal" stopIfTrue="1">
      <formula>$I$12</formula>
    </cfRule>
  </conditionalFormatting>
  <dataValidations count="3">
    <dataValidation type="list" allowBlank="1" showInputMessage="1" showErrorMessage="1" sqref="G11:G29 G31:G101">
      <formula1>NEINV</formula1>
    </dataValidation>
    <dataValidation type="list" allowBlank="1" showInputMessage="1" showErrorMessage="1" sqref="H11:H102">
      <formula1>INV</formula1>
    </dataValidation>
    <dataValidation type="list" allowBlank="1" showInputMessage="1" showErrorMessage="1" sqref="I11:I101 N11:N101">
      <formula1>"Ano,Ne"</formula1>
    </dataValidation>
  </dataValidations>
  <printOptions/>
  <pageMargins left="0.1968503937007874" right="0.1968503937007874" top="0.41" bottom="0.984251968503937" header="0.27" footer="0.5118110236220472"/>
  <pageSetup fitToHeight="1" fitToWidth="1" horizontalDpi="600" verticalDpi="600" orientation="landscape" paperSize="9" scale="56" r:id="rId3"/>
  <headerFooter alignWithMargins="0">
    <oddHeader>&amp;CPříloha k monitorovací zprávě a hlášení o pokroku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8515625" style="194" customWidth="1"/>
    <col min="2" max="2" width="45.7109375" style="194" customWidth="1"/>
    <col min="3" max="3" width="16.7109375" style="194" customWidth="1"/>
    <col min="4" max="4" width="16.140625" style="194" customWidth="1"/>
    <col min="5" max="5" width="7.421875" style="194" customWidth="1"/>
    <col min="6" max="6" width="46.7109375" style="194" customWidth="1"/>
    <col min="7" max="8" width="16.28125" style="194" customWidth="1"/>
    <col min="9" max="16384" width="9.140625" style="194" customWidth="1"/>
  </cols>
  <sheetData>
    <row r="1" spans="1:8" ht="12.75">
      <c r="A1" s="193">
        <f>'Přehled smluv a faktur'!D9</f>
        <v>0</v>
      </c>
      <c r="B1" s="193"/>
      <c r="C1" s="543" t="str">
        <f>'Přehled smluv a faktur'!F9</f>
        <v>DUZP</v>
      </c>
      <c r="D1" s="544"/>
      <c r="E1" s="193">
        <f>'Přehled smluv a faktur'!D9</f>
        <v>0</v>
      </c>
      <c r="F1" s="193"/>
      <c r="G1" s="543" t="str">
        <f>'Přehled smluv a faktur'!F9</f>
        <v>DUZP</v>
      </c>
      <c r="H1" s="544"/>
    </row>
    <row r="2" spans="1:8" ht="12">
      <c r="A2" s="195" t="s">
        <v>105</v>
      </c>
      <c r="B2" s="196" t="s">
        <v>106</v>
      </c>
      <c r="C2" s="197" t="s">
        <v>107</v>
      </c>
      <c r="D2" s="197" t="s">
        <v>108</v>
      </c>
      <c r="E2" s="195" t="s">
        <v>85</v>
      </c>
      <c r="F2" s="196" t="s">
        <v>109</v>
      </c>
      <c r="G2" s="197" t="s">
        <v>107</v>
      </c>
      <c r="H2" s="197" t="s">
        <v>108</v>
      </c>
    </row>
    <row r="3" spans="1:8" ht="12">
      <c r="A3" s="269">
        <v>5010</v>
      </c>
      <c r="B3" s="195" t="s">
        <v>206</v>
      </c>
      <c r="C3" s="199">
        <f>SUMIF('Přehled smluv a faktur'!H11:H96,"=5010",'Přehled smluv a faktur'!K11:K96)</f>
        <v>0</v>
      </c>
      <c r="D3" s="199">
        <f>SUMIF('Přehled smluv a faktur'!H11:H96,"=5010",'Přehled smluv a faktur'!M11:M96)</f>
        <v>0</v>
      </c>
      <c r="E3" s="269">
        <v>6010</v>
      </c>
      <c r="F3" s="195" t="s">
        <v>110</v>
      </c>
      <c r="G3" s="199">
        <f>SUMIF('Přehled smluv a faktur'!I11:I96,"=6010",'Přehled smluv a faktur'!K11:K96)</f>
        <v>0</v>
      </c>
      <c r="H3" s="199">
        <f>SUMIF('Přehled smluv a faktur'!I11:I96,"=6010",'Přehled smluv a faktur'!M11:M96)</f>
        <v>0</v>
      </c>
    </row>
    <row r="4" spans="1:8" ht="12">
      <c r="A4" s="269">
        <v>5011</v>
      </c>
      <c r="B4" s="195" t="s">
        <v>207</v>
      </c>
      <c r="C4" s="199">
        <f>SUMIF('Přehled smluv a faktur'!H11:H96,"=5011",'Přehled smluv a faktur'!K11:K96)</f>
        <v>0</v>
      </c>
      <c r="D4" s="199">
        <f>SUMIF('Přehled smluv a faktur'!H11:H96,"=5011",'Přehled smluv a faktur'!M11:M96)</f>
        <v>0</v>
      </c>
      <c r="E4" s="269">
        <v>6011</v>
      </c>
      <c r="F4" s="195" t="s">
        <v>111</v>
      </c>
      <c r="G4" s="199">
        <f>SUMIF('Přehled smluv a faktur'!I11:I96,"=6011",'Přehled smluv a faktur'!K11:K96)</f>
        <v>0</v>
      </c>
      <c r="H4" s="199">
        <f>SUMIF('Přehled smluv a faktur'!I11:I96,"=6011",'Přehled smluv a faktur'!M11:M96)</f>
        <v>0</v>
      </c>
    </row>
    <row r="5" spans="1:8" ht="12">
      <c r="A5" s="269">
        <v>5012</v>
      </c>
      <c r="B5" s="195" t="s">
        <v>112</v>
      </c>
      <c r="C5" s="199">
        <f>SUMIF('Přehled smluv a faktur'!H11:H96,"=5012",'Přehled smluv a faktur'!K11:K96)</f>
        <v>0</v>
      </c>
      <c r="D5" s="199">
        <f>SUMIF('Přehled smluv a faktur'!H11:H96,"=5012",'Přehled smluv a faktur'!M11:M96)</f>
        <v>0</v>
      </c>
      <c r="E5" s="269">
        <v>6012</v>
      </c>
      <c r="F5" s="195" t="s">
        <v>112</v>
      </c>
      <c r="G5" s="199">
        <f>SUMIF('Přehled smluv a faktur'!I11:I96,"=6012",'Přehled smluv a faktur'!K11:K96)</f>
        <v>0</v>
      </c>
      <c r="H5" s="199">
        <f>SUMIF('Přehled smluv a faktur'!I11:I96,"=6012",'Přehled smluv a faktur'!M11:M96)</f>
        <v>0</v>
      </c>
    </row>
    <row r="6" spans="1:8" ht="12">
      <c r="A6" s="269">
        <v>5014</v>
      </c>
      <c r="B6" s="195" t="s">
        <v>208</v>
      </c>
      <c r="C6" s="199">
        <f>SUMIF('Přehled smluv a faktur'!H11:H96,"=5014",'Přehled smluv a faktur'!K11:K96)</f>
        <v>0</v>
      </c>
      <c r="D6" s="199">
        <f>SUMIF('Přehled smluv a faktur'!H11:H96,"=5014",'Přehled smluv a faktur'!M11:M96)</f>
        <v>0</v>
      </c>
      <c r="E6" s="269">
        <v>6013</v>
      </c>
      <c r="F6" s="195" t="s">
        <v>226</v>
      </c>
      <c r="G6" s="199">
        <f>SUMIF('Přehled smluv a faktur'!I11:I96,"=6013",'Přehled smluv a faktur'!K11:K96)</f>
        <v>0</v>
      </c>
      <c r="H6" s="199">
        <f>SUMIF('Přehled smluv a faktur'!I11:I96,"=6013",'Přehled smluv a faktur'!M11:M96)</f>
        <v>0</v>
      </c>
    </row>
    <row r="7" spans="1:8" ht="12">
      <c r="A7" s="269">
        <v>5019</v>
      </c>
      <c r="B7" s="195" t="s">
        <v>209</v>
      </c>
      <c r="C7" s="199">
        <f>SUMIF('Přehled smluv a faktur'!H11:H96,"=5019",'Přehled smluv a faktur'!K11:K96)</f>
        <v>0</v>
      </c>
      <c r="D7" s="199">
        <f>SUMIF('Přehled smluv a faktur'!H11:H96,"=5019",'Přehled smluv a faktur'!M11:M96)</f>
        <v>0</v>
      </c>
      <c r="E7" s="194">
        <v>6014</v>
      </c>
      <c r="F7" s="194" t="s">
        <v>208</v>
      </c>
      <c r="G7" s="199">
        <f>SUMIF('Přehled smluv a faktur'!I11:I96,"=6014",'Přehled smluv a faktur'!K11:K96)</f>
        <v>0</v>
      </c>
      <c r="H7" s="199">
        <f>SUMIF('Přehled smluv a faktur'!I11:I96,"=6014",'Přehled smluv a faktur'!M11:M96)</f>
        <v>0</v>
      </c>
    </row>
    <row r="8" spans="1:8" ht="12">
      <c r="A8" s="270" t="s">
        <v>210</v>
      </c>
      <c r="B8" s="201" t="s">
        <v>211</v>
      </c>
      <c r="C8" s="202">
        <f>SUM(C3:C7)</f>
        <v>0</v>
      </c>
      <c r="D8" s="202">
        <f>SUM(D3:D7)</f>
        <v>0</v>
      </c>
      <c r="E8" s="269">
        <v>6019</v>
      </c>
      <c r="F8" s="195" t="s">
        <v>209</v>
      </c>
      <c r="G8" s="199">
        <f>SUMIF('Přehled smluv a faktur'!I11:I96,"=6019",'Přehled smluv a faktur'!K11:K96)</f>
        <v>0</v>
      </c>
      <c r="H8" s="199">
        <f>SUMIF('Přehled smluv a faktur'!I11:I96,"=6019",'Přehled smluv a faktur'!M11:M96)</f>
        <v>0</v>
      </c>
    </row>
    <row r="9" spans="1:8" ht="12">
      <c r="A9" s="269">
        <v>5030</v>
      </c>
      <c r="B9" s="195" t="s">
        <v>212</v>
      </c>
      <c r="C9" s="199">
        <f>SUMIF('Přehled smluv a faktur'!H11:H96,"=5030",'Přehled smluv a faktur'!K11:K96)</f>
        <v>0</v>
      </c>
      <c r="D9" s="199">
        <f>SUMIF('Přehled smluv a faktur'!H11:H96,"=5030",'Přehled smluv a faktur'!M11:M96)</f>
        <v>0</v>
      </c>
      <c r="E9" s="200" t="s">
        <v>227</v>
      </c>
      <c r="F9" s="201" t="s">
        <v>113</v>
      </c>
      <c r="G9" s="203">
        <f>SUM(G3:G8)</f>
        <v>0</v>
      </c>
      <c r="H9" s="203">
        <f>SUM(H3:H8)</f>
        <v>0</v>
      </c>
    </row>
    <row r="10" spans="1:8" ht="12">
      <c r="A10" s="269">
        <v>5031</v>
      </c>
      <c r="B10" s="195" t="s">
        <v>114</v>
      </c>
      <c r="C10" s="199">
        <f>SUMIF('Přehled smluv a faktur'!H11:H96,"=5031",'Přehled smluv a faktur'!K11:K96)</f>
        <v>0</v>
      </c>
      <c r="D10" s="199">
        <f>SUMIF('Přehled smluv a faktur'!H11:H96,"=5031",'Přehled smluv a faktur'!M11:M96)</f>
        <v>0</v>
      </c>
      <c r="E10" s="269">
        <v>6090</v>
      </c>
      <c r="F10" s="195" t="s">
        <v>116</v>
      </c>
      <c r="G10" s="199">
        <f>SUMIF('Přehled smluv a faktur'!I11:I96,"=6090",'Přehled smluv a faktur'!K11:K96)</f>
        <v>0</v>
      </c>
      <c r="H10" s="199">
        <f>SUMIF('Přehled smluv a faktur'!I11:I96,"=6090",'Přehled smluv a faktur'!M11:M96)</f>
        <v>0</v>
      </c>
    </row>
    <row r="11" spans="1:8" ht="12">
      <c r="A11" s="269">
        <v>5032</v>
      </c>
      <c r="B11" s="195" t="s">
        <v>115</v>
      </c>
      <c r="C11" s="199">
        <f>SUMIF('Přehled smluv a faktur'!H11:H96,"=5032",'Přehled smluv a faktur'!K11:K96)</f>
        <v>0</v>
      </c>
      <c r="D11" s="199">
        <f>SUMIF('Přehled smluv a faktur'!H11:H96,"=5032",'Přehled smluv a faktur'!M11:M96)</f>
        <v>0</v>
      </c>
      <c r="E11" s="269">
        <v>6091</v>
      </c>
      <c r="F11" s="195" t="s">
        <v>118</v>
      </c>
      <c r="G11" s="199">
        <f>SUMIF('Přehled smluv a faktur'!I11:I96,"=6091",'Přehled smluv a faktur'!K11:K96)</f>
        <v>0</v>
      </c>
      <c r="H11" s="199">
        <f>SUMIF('Přehled smluv a faktur'!I11:I96,"=6091",'Přehled smluv a faktur'!M11:M96)</f>
        <v>0</v>
      </c>
    </row>
    <row r="12" spans="1:8" ht="12">
      <c r="A12" s="269">
        <v>5039</v>
      </c>
      <c r="B12" s="195" t="s">
        <v>117</v>
      </c>
      <c r="C12" s="199">
        <f>SUMIF('Přehled smluv a faktur'!H11:H96,"=5039",'Přehled smluv a faktur'!K11:K96)</f>
        <v>0</v>
      </c>
      <c r="D12" s="199">
        <f>SUMIF('Přehled smluv a faktur'!H11:H96,"=5039",'Přehled smluv a faktur'!M11:M96)</f>
        <v>0</v>
      </c>
      <c r="E12" s="269">
        <v>6092</v>
      </c>
      <c r="F12" s="195" t="s">
        <v>120</v>
      </c>
      <c r="G12" s="199">
        <f>SUMIF('Přehled smluv a faktur'!I11:I96,"=6092",'Přehled smluv a faktur'!K11:K96)</f>
        <v>0</v>
      </c>
      <c r="H12" s="199">
        <f>SUMIF('Přehled smluv a faktur'!I11:I96,"=6092",'Přehled smluv a faktur'!M11:M96)</f>
        <v>0</v>
      </c>
    </row>
    <row r="13" spans="1:8" ht="12">
      <c r="A13" s="270" t="s">
        <v>213</v>
      </c>
      <c r="B13" s="201" t="s">
        <v>119</v>
      </c>
      <c r="C13" s="202">
        <f>SUM(C9:C12)</f>
        <v>0</v>
      </c>
      <c r="D13" s="202">
        <f>SUM(D9:D12)</f>
        <v>0</v>
      </c>
      <c r="E13" s="269">
        <v>6093</v>
      </c>
      <c r="F13" s="195" t="s">
        <v>122</v>
      </c>
      <c r="G13" s="199">
        <f>SUMIF('Přehled smluv a faktur'!I11:I96,"=6093",'Přehled smluv a faktur'!K11:K96)</f>
        <v>0</v>
      </c>
      <c r="H13" s="199">
        <f>SUMIF('Přehled smluv a faktur'!I11:I96,"=6093",'Přehled smluv a faktur'!M11:M96)</f>
        <v>0</v>
      </c>
    </row>
    <row r="14" spans="1:8" ht="12">
      <c r="A14" s="269">
        <v>5050</v>
      </c>
      <c r="B14" s="195" t="s">
        <v>121</v>
      </c>
      <c r="C14" s="199">
        <f>SUMIF('Přehled smluv a faktur'!H11:H96,"=5050",'Přehled smluv a faktur'!K11:K96)</f>
        <v>0</v>
      </c>
      <c r="D14" s="199">
        <f>SUMIF('Přehled smluv a faktur'!H11:H96,"=5050",'Přehled smluv a faktur'!M11:M96)</f>
        <v>0</v>
      </c>
      <c r="E14" s="269">
        <v>6094</v>
      </c>
      <c r="F14" s="195" t="s">
        <v>124</v>
      </c>
      <c r="G14" s="199">
        <f>SUMIF('Přehled smluv a faktur'!I11:I96,"=6094",'Přehled smluv a faktur'!K11:K96)</f>
        <v>0</v>
      </c>
      <c r="H14" s="199">
        <f>SUMIF('Přehled smluv a faktur'!I11:I96,"=6094",'Přehled smluv a faktur'!M11:M96)</f>
        <v>0</v>
      </c>
    </row>
    <row r="15" spans="1:8" ht="12">
      <c r="A15" s="269">
        <v>5051</v>
      </c>
      <c r="B15" s="195" t="s">
        <v>123</v>
      </c>
      <c r="C15" s="199">
        <f>SUMIF('Přehled smluv a faktur'!H11:H96,"=5051",'Přehled smluv a faktur'!K11:K96)</f>
        <v>0</v>
      </c>
      <c r="D15" s="199">
        <f>SUMIF('Přehled smluv a faktur'!H11:H96,"=5051",'Přehled smluv a faktur'!M11:M96)</f>
        <v>0</v>
      </c>
      <c r="E15" s="269">
        <v>6095</v>
      </c>
      <c r="F15" s="195" t="s">
        <v>126</v>
      </c>
      <c r="G15" s="199">
        <f>SUMIF('Přehled smluv a faktur'!I11:I96,"=6095",'Přehled smluv a faktur'!K11:K96)</f>
        <v>0</v>
      </c>
      <c r="H15" s="199">
        <f>SUMIF('Přehled smluv a faktur'!I11:I96,"=6095",'Přehled smluv a faktur'!M11:M96)</f>
        <v>0</v>
      </c>
    </row>
    <row r="16" spans="1:8" ht="12">
      <c r="A16" s="269">
        <v>5052</v>
      </c>
      <c r="B16" s="195" t="s">
        <v>125</v>
      </c>
      <c r="C16" s="199">
        <f>SUMIF('Přehled smluv a faktur'!H11:H96,"=5052",'Přehled smluv a faktur'!K11:K96)</f>
        <v>0</v>
      </c>
      <c r="D16" s="199">
        <f>SUMIF('Přehled smluv a faktur'!H11:H96,"=5052",'Přehled smluv a faktur'!M11:M96)</f>
        <v>0</v>
      </c>
      <c r="E16" s="269">
        <v>6096</v>
      </c>
      <c r="F16" s="195" t="s">
        <v>128</v>
      </c>
      <c r="G16" s="199">
        <f>SUMIF('Přehled smluv a faktur'!I11:I96,"=6096",'Přehled smluv a faktur'!K11:K96)</f>
        <v>0</v>
      </c>
      <c r="H16" s="199">
        <f>SUMIF('Přehled smluv a faktur'!I11:I96,"=6096",'Přehled smluv a faktur'!M11:M96)</f>
        <v>0</v>
      </c>
    </row>
    <row r="17" spans="1:8" ht="12">
      <c r="A17" s="269">
        <v>5053</v>
      </c>
      <c r="B17" s="195" t="s">
        <v>127</v>
      </c>
      <c r="C17" s="199">
        <f>SUMIF('Přehled smluv a faktur'!H11:H96,"=5053",'Přehled smluv a faktur'!K11:K96)</f>
        <v>0</v>
      </c>
      <c r="D17" s="199">
        <f>SUMIF('Přehled smluv a faktur'!H11:H96,"=5053",'Přehled smluv a faktur'!M11:M96)</f>
        <v>0</v>
      </c>
      <c r="E17" s="269">
        <v>6097</v>
      </c>
      <c r="F17" s="195" t="s">
        <v>130</v>
      </c>
      <c r="G17" s="199">
        <f>SUMIF('Přehled smluv a faktur'!I11:I96,"=6097",'Přehled smluv a faktur'!K11:K96)</f>
        <v>0</v>
      </c>
      <c r="H17" s="199">
        <f>SUMIF('Přehled smluv a faktur'!I11:I96,"=6097",'Přehled smluv a faktur'!M11:M96)</f>
        <v>0</v>
      </c>
    </row>
    <row r="18" spans="1:8" ht="12">
      <c r="A18" s="269">
        <v>5054</v>
      </c>
      <c r="B18" s="195" t="s">
        <v>129</v>
      </c>
      <c r="C18" s="199">
        <f>SUMIF('Přehled smluv a faktur'!H11:H96,"=5054",'Přehled smluv a faktur'!K11:K96)</f>
        <v>0</v>
      </c>
      <c r="D18" s="199">
        <f>SUMIF('Přehled smluv a faktur'!H11:H96,"=5054",'Přehled smluv a faktur'!M11:M96)</f>
        <v>0</v>
      </c>
      <c r="E18" s="269">
        <v>6099</v>
      </c>
      <c r="F18" s="195" t="s">
        <v>132</v>
      </c>
      <c r="G18" s="199">
        <f>SUMIF('Přehled smluv a faktur'!I11:I96,"=6099",'Přehled smluv a faktur'!K11:K96)</f>
        <v>0</v>
      </c>
      <c r="H18" s="199">
        <f>SUMIF('Přehled smluv a faktur'!I11:I96,"=6099",'Přehled smluv a faktur'!M11:M96)</f>
        <v>0</v>
      </c>
    </row>
    <row r="19" spans="1:8" ht="12">
      <c r="A19" s="269">
        <v>5055</v>
      </c>
      <c r="B19" s="195" t="s">
        <v>131</v>
      </c>
      <c r="C19" s="199">
        <f>SUMIF('Přehled smluv a faktur'!H11:H96,"=5055",'Přehled smluv a faktur'!K11:K96)</f>
        <v>0</v>
      </c>
      <c r="D19" s="199">
        <f>SUMIF('Přehled smluv a faktur'!H11:H96,"=5055",'Přehled smluv a faktur'!M11:M96)</f>
        <v>0</v>
      </c>
      <c r="E19" s="200" t="s">
        <v>228</v>
      </c>
      <c r="F19" s="201" t="s">
        <v>134</v>
      </c>
      <c r="G19" s="203">
        <f>SUM(G10:G18)</f>
        <v>0</v>
      </c>
      <c r="H19" s="203">
        <f>SUM(H10:H18)</f>
        <v>0</v>
      </c>
    </row>
    <row r="20" spans="1:8" ht="12">
      <c r="A20" s="269">
        <v>5056</v>
      </c>
      <c r="B20" s="195" t="s">
        <v>133</v>
      </c>
      <c r="C20" s="199">
        <f>SUMIF('Přehled smluv a faktur'!H11:H96,"=5056",'Přehled smluv a faktur'!K11:K96)</f>
        <v>0</v>
      </c>
      <c r="D20" s="199">
        <f>SUMIF('Přehled smluv a faktur'!H11:H96,"=5056",'Přehled smluv a faktur'!M11:M96)</f>
        <v>0</v>
      </c>
      <c r="E20" s="269">
        <v>6110</v>
      </c>
      <c r="F20" s="195" t="s">
        <v>136</v>
      </c>
      <c r="G20" s="199">
        <f>SUMIF('Přehled smluv a faktur'!I11:I96,"=6110",'Přehled smluv a faktur'!K11:K96)</f>
        <v>0</v>
      </c>
      <c r="H20" s="199">
        <f>SUMIF('Přehled smluv a faktur'!I11:I96,"=6110",'Přehled smluv a faktur'!M11:M96)</f>
        <v>0</v>
      </c>
    </row>
    <row r="21" spans="1:8" ht="12">
      <c r="A21" s="269">
        <v>5057</v>
      </c>
      <c r="B21" s="195" t="s">
        <v>135</v>
      </c>
      <c r="C21" s="199">
        <f>SUMIF('Přehled smluv a faktur'!H11:H96,"=5057",'Přehled smluv a faktur'!K11:K96)</f>
        <v>0</v>
      </c>
      <c r="D21" s="199">
        <f>SUMIF('Přehled smluv a faktur'!H11:H96,"=5057",'Přehled smluv a faktur'!M11:M96)</f>
        <v>0</v>
      </c>
      <c r="E21" s="269">
        <v>6111</v>
      </c>
      <c r="F21" s="195" t="s">
        <v>138</v>
      </c>
      <c r="G21" s="199">
        <f>SUMIF('Přehled smluv a faktur'!I11:I96,"=6111",'Přehled smluv a faktur'!K11:K96)</f>
        <v>0</v>
      </c>
      <c r="H21" s="199">
        <f>SUMIF('Přehled smluv a faktur'!I11:I96,"=6111",'Přehled smluv a faktur'!M11:M96)</f>
        <v>0</v>
      </c>
    </row>
    <row r="22" spans="1:8" ht="12">
      <c r="A22" s="269">
        <v>5058</v>
      </c>
      <c r="B22" s="195" t="s">
        <v>137</v>
      </c>
      <c r="C22" s="199">
        <f>SUMIF('Přehled smluv a faktur'!H11:H96,"=5058",'Přehled smluv a faktur'!K11:K96)</f>
        <v>0</v>
      </c>
      <c r="D22" s="199">
        <f>SUMIF('Přehled smluv a faktur'!H11:H96,"=5058",'Přehled smluv a faktur'!M11:M96)</f>
        <v>0</v>
      </c>
      <c r="E22" s="269">
        <v>6112</v>
      </c>
      <c r="F22" s="195" t="s">
        <v>140</v>
      </c>
      <c r="G22" s="199">
        <f>SUMIF('Přehled smluv a faktur'!I11:I96,"=6112",'Přehled smluv a faktur'!K11:K96)</f>
        <v>0</v>
      </c>
      <c r="H22" s="199">
        <f>SUMIF('Přehled smluv a faktur'!I11:I96,"=6112",'Přehled smluv a faktur'!M11:M96)</f>
        <v>0</v>
      </c>
    </row>
    <row r="23" spans="1:8" ht="12">
      <c r="A23" s="200" t="s">
        <v>214</v>
      </c>
      <c r="B23" s="201" t="s">
        <v>139</v>
      </c>
      <c r="C23" s="202">
        <f>SUM(C14:C22)</f>
        <v>0</v>
      </c>
      <c r="D23" s="202">
        <f>SUM(D14:D22)</f>
        <v>0</v>
      </c>
      <c r="E23" s="269">
        <v>6113</v>
      </c>
      <c r="F23" s="195" t="s">
        <v>142</v>
      </c>
      <c r="G23" s="199">
        <f>SUMIF('Přehled smluv a faktur'!I11:I96,"=6113",'Přehled smluv a faktur'!K11:K96)</f>
        <v>0</v>
      </c>
      <c r="H23" s="199">
        <f>SUMIF('Přehled smluv a faktur'!I11:I96,"=6113",'Přehled smluv a faktur'!M11:M96)</f>
        <v>0</v>
      </c>
    </row>
    <row r="24" spans="1:8" ht="12">
      <c r="A24" s="269">
        <v>5070</v>
      </c>
      <c r="B24" s="195" t="s">
        <v>141</v>
      </c>
      <c r="C24" s="199">
        <f>SUMIF('Přehled smluv a faktur'!H11:H96,"=5070",'Přehled smluv a faktur'!K11:K96)</f>
        <v>0</v>
      </c>
      <c r="D24" s="199">
        <f>SUMIF('Přehled smluv a faktur'!H11:H96,"=5070",'Přehled smluv a faktur'!M11:M96)</f>
        <v>0</v>
      </c>
      <c r="E24" s="269">
        <v>6114</v>
      </c>
      <c r="F24" s="195" t="s">
        <v>144</v>
      </c>
      <c r="G24" s="199">
        <f>SUMIF('Přehled smluv a faktur'!I11:I96,"=6114",'Přehled smluv a faktur'!K11:K96)</f>
        <v>0</v>
      </c>
      <c r="H24" s="199">
        <f>SUMIF('Přehled smluv a faktur'!I11:I96,"=6114",'Přehled smluv a faktur'!M11:M96)</f>
        <v>0</v>
      </c>
    </row>
    <row r="25" spans="1:8" ht="12">
      <c r="A25" s="269">
        <v>5071</v>
      </c>
      <c r="B25" s="195" t="s">
        <v>143</v>
      </c>
      <c r="C25" s="199">
        <f>SUMIF('Přehled smluv a faktur'!H11:H96,"=5071",'Přehled smluv a faktur'!K11:K96)</f>
        <v>0</v>
      </c>
      <c r="D25" s="199">
        <f>SUMIF('Přehled smluv a faktur'!H11:H96,"=5071",'Přehled smluv a faktur'!M11:M96)</f>
        <v>0</v>
      </c>
      <c r="E25" s="269">
        <v>6115</v>
      </c>
      <c r="F25" s="195" t="s">
        <v>229</v>
      </c>
      <c r="G25" s="199">
        <f>SUMIF('Přehled smluv a faktur'!I11:I96,"=6115",'Přehled smluv a faktur'!K11:K96)</f>
        <v>0</v>
      </c>
      <c r="H25" s="199">
        <f>SUMIF('Přehled smluv a faktur'!I11:I96,"=6115",'Přehled smluv a faktur'!M11:M96)</f>
        <v>0</v>
      </c>
    </row>
    <row r="26" spans="1:8" ht="12">
      <c r="A26" s="269">
        <v>5072</v>
      </c>
      <c r="B26" s="195" t="s">
        <v>145</v>
      </c>
      <c r="C26" s="199">
        <f>SUMIF('Přehled smluv a faktur'!H11:H96,"=5072",'Přehled smluv a faktur'!K11:K96)</f>
        <v>0</v>
      </c>
      <c r="D26" s="199">
        <f>SUMIF('Přehled smluv a faktur'!H11:H96,"=5072",'Přehled smluv a faktur'!M11:M96)</f>
        <v>0</v>
      </c>
      <c r="E26" s="269">
        <v>6116</v>
      </c>
      <c r="F26" s="195" t="s">
        <v>147</v>
      </c>
      <c r="G26" s="199">
        <f>SUMIF('Přehled smluv a faktur'!I11:I96,"=6116",'Přehled smluv a faktur'!K11:K96)</f>
        <v>0</v>
      </c>
      <c r="H26" s="199">
        <f>SUMIF('Přehled smluv a faktur'!I11:I96,"=6116",'Přehled smluv a faktur'!M11:M96)</f>
        <v>0</v>
      </c>
    </row>
    <row r="27" spans="1:8" ht="12">
      <c r="A27" s="269">
        <v>5073</v>
      </c>
      <c r="B27" s="195" t="s">
        <v>146</v>
      </c>
      <c r="C27" s="199">
        <f>SUMIF('Přehled smluv a faktur'!H11:H96,"=5073",'Přehled smluv a faktur'!K11:K96)</f>
        <v>0</v>
      </c>
      <c r="D27" s="199">
        <f>SUMIF('Přehled smluv a faktur'!H11:H96,"=5073",'Přehled smluv a faktur'!M11:M96)</f>
        <v>0</v>
      </c>
      <c r="E27" s="269">
        <v>6117</v>
      </c>
      <c r="F27" s="195" t="s">
        <v>149</v>
      </c>
      <c r="G27" s="199">
        <f>SUMIF('Přehled smluv a faktur'!I11:I96,"=6117",'Přehled smluv a faktur'!K11:K96)</f>
        <v>0</v>
      </c>
      <c r="H27" s="199">
        <f>SUMIF('Přehled smluv a faktur'!I11:I96,"=6117",'Přehled smluv a faktur'!M11:M96)</f>
        <v>0</v>
      </c>
    </row>
    <row r="28" spans="1:8" ht="12">
      <c r="A28" s="269">
        <v>5074</v>
      </c>
      <c r="B28" s="195" t="s">
        <v>148</v>
      </c>
      <c r="C28" s="199">
        <f>SUMIF('Přehled smluv a faktur'!H11:H96,"=5074",'Přehled smluv a faktur'!K11:K96)</f>
        <v>0</v>
      </c>
      <c r="D28" s="199">
        <f>SUMIF('Přehled smluv a faktur'!H11:H96,"=5074",'Přehled smluv a faktur'!M11:M96)</f>
        <v>0</v>
      </c>
      <c r="E28" s="269">
        <v>6119</v>
      </c>
      <c r="F28" s="195" t="s">
        <v>151</v>
      </c>
      <c r="G28" s="199">
        <f>SUMIF('Přehled smluv a faktur'!I11:I96,"=6119",'Přehled smluv a faktur'!K11:K96)</f>
        <v>0</v>
      </c>
      <c r="H28" s="199">
        <f>SUMIF('Přehled smluv a faktur'!I11:I96,"=6119",'Přehled smluv a faktur'!M11:M96)</f>
        <v>0</v>
      </c>
    </row>
    <row r="29" spans="1:8" ht="12">
      <c r="A29" s="269">
        <v>5075</v>
      </c>
      <c r="B29" s="195" t="s">
        <v>150</v>
      </c>
      <c r="C29" s="199">
        <f>SUMIF('Přehled smluv a faktur'!H11:H96,"=5075",'Přehled smluv a faktur'!K11:K96)</f>
        <v>0</v>
      </c>
      <c r="D29" s="199">
        <f>SUMIF('Přehled smluv a faktur'!H11:H96,"=5075",'Přehled smluv a faktur'!M11:M96)</f>
        <v>0</v>
      </c>
      <c r="E29" s="200" t="s">
        <v>230</v>
      </c>
      <c r="F29" s="201" t="s">
        <v>153</v>
      </c>
      <c r="G29" s="203">
        <f>SUM(G20:G28)</f>
        <v>0</v>
      </c>
      <c r="H29" s="203">
        <f>SUM(H20:H28)</f>
        <v>0</v>
      </c>
    </row>
    <row r="30" spans="1:8" ht="12">
      <c r="A30" s="269">
        <v>5076</v>
      </c>
      <c r="B30" s="195" t="s">
        <v>152</v>
      </c>
      <c r="C30" s="199">
        <f>SUMIF('Přehled smluv a faktur'!H11:H96,"=5076",'Přehled smluv a faktur'!K11:K96)</f>
        <v>0</v>
      </c>
      <c r="D30" s="199">
        <f>SUMIF('Přehled smluv a faktur'!H11:H96,"=5076",'Přehled smluv a faktur'!M11:M96)</f>
        <v>0</v>
      </c>
      <c r="E30" s="269">
        <v>6130</v>
      </c>
      <c r="F30" s="195" t="s">
        <v>155</v>
      </c>
      <c r="G30" s="199">
        <f>SUMIF('Přehled smluv a faktur'!I11:I96,"=6130",'Přehled smluv a faktur'!K11:K96)</f>
        <v>0</v>
      </c>
      <c r="H30" s="199">
        <f>SUMIF('Přehled smluv a faktur'!H11:H96,"=6130",'Přehled smluv a faktur'!P11:IP96)</f>
        <v>0</v>
      </c>
    </row>
    <row r="31" spans="1:8" ht="12">
      <c r="A31" s="269">
        <v>5077</v>
      </c>
      <c r="B31" s="195" t="s">
        <v>154</v>
      </c>
      <c r="C31" s="199">
        <f>SUMIF('Přehled smluv a faktur'!H11:H96,"=5077",'Přehled smluv a faktur'!K11:K96)</f>
        <v>0</v>
      </c>
      <c r="D31" s="199">
        <f>SUMIF('Přehled smluv a faktur'!H11:H96,"=5077",'Přehled smluv a faktur'!M11:M96)</f>
        <v>0</v>
      </c>
      <c r="E31" s="269">
        <v>6131</v>
      </c>
      <c r="F31" s="195" t="s">
        <v>157</v>
      </c>
      <c r="G31" s="199">
        <f>SUMIF('Přehled smluv a faktur'!I11:I96,"=6131",'Přehled smluv a faktur'!K11:K96)</f>
        <v>0</v>
      </c>
      <c r="H31" s="199">
        <f>SUMIF('Přehled smluv a faktur'!I11:I96,"=6131",'Přehled smluv a faktur'!M11:M96)</f>
        <v>0</v>
      </c>
    </row>
    <row r="32" spans="1:8" ht="12">
      <c r="A32" s="269">
        <v>5078</v>
      </c>
      <c r="B32" s="195" t="s">
        <v>156</v>
      </c>
      <c r="C32" s="199">
        <f>SUMIF('Přehled smluv a faktur'!H11:H96,"=5078",'Přehled smluv a faktur'!K11:K96)</f>
        <v>0</v>
      </c>
      <c r="D32" s="199">
        <f>SUMIF('Přehled smluv a faktur'!H11:H96,"=5078",'Přehled smluv a faktur'!M11:M96)</f>
        <v>0</v>
      </c>
      <c r="E32" s="269">
        <v>6132</v>
      </c>
      <c r="F32" s="195" t="s">
        <v>159</v>
      </c>
      <c r="G32" s="199">
        <f>SUMIF('Přehled smluv a faktur'!I11:I96,"=6132",'Přehled smluv a faktur'!K11:K96)</f>
        <v>0</v>
      </c>
      <c r="H32" s="199">
        <f>SUMIF('Přehled smluv a faktur'!I11:I96,"=6132",'Přehled smluv a faktur'!M11:M96)</f>
        <v>0</v>
      </c>
    </row>
    <row r="33" spans="1:8" ht="12">
      <c r="A33" s="200" t="s">
        <v>215</v>
      </c>
      <c r="B33" s="201" t="s">
        <v>158</v>
      </c>
      <c r="C33" s="202">
        <f>SUM(C24:C32)</f>
        <v>0</v>
      </c>
      <c r="D33" s="202">
        <f>SUM(D24:D32)</f>
        <v>0</v>
      </c>
      <c r="E33" s="269">
        <v>6133</v>
      </c>
      <c r="F33" s="195" t="s">
        <v>160</v>
      </c>
      <c r="G33" s="199">
        <f>SUMIF('Přehled smluv a faktur'!I11:I96,"=6133",'Přehled smluv a faktur'!K11:K96)</f>
        <v>0</v>
      </c>
      <c r="H33" s="199">
        <f>SUMIF('Přehled smluv a faktur'!I11:I96,"=6133",'Přehled smluv a faktur'!M11:M96)</f>
        <v>0</v>
      </c>
    </row>
    <row r="34" spans="1:8" ht="12">
      <c r="A34" s="271">
        <v>5090</v>
      </c>
      <c r="B34" s="272" t="s">
        <v>216</v>
      </c>
      <c r="C34" s="273">
        <f>SUMIF('Přehled smluv a faktur'!H11:H96,"=5090",'Přehled smluv a faktur'!K11:K96)</f>
        <v>0</v>
      </c>
      <c r="D34" s="199">
        <f>SUMIF('Přehled smluv a faktur'!H11:H96,"=5090",'Přehled smluv a faktur'!M11:M96)</f>
        <v>0</v>
      </c>
      <c r="E34" s="269">
        <v>6139</v>
      </c>
      <c r="F34" s="195" t="s">
        <v>161</v>
      </c>
      <c r="G34" s="199">
        <f>SUMIF('Přehled smluv a faktur'!I11:I96,"=6139",'Přehled smluv a faktur'!K11:K96)</f>
        <v>0</v>
      </c>
      <c r="H34" s="199">
        <f>SUMIF('Přehled smluv a faktur'!I11:I96,"=6139",'Přehled smluv a faktur'!M11:M96)</f>
        <v>0</v>
      </c>
    </row>
    <row r="35" spans="1:8" ht="12">
      <c r="A35" s="269">
        <v>5091</v>
      </c>
      <c r="B35" s="195" t="s">
        <v>118</v>
      </c>
      <c r="C35" s="199">
        <f>SUMIF('Přehled smluv a faktur'!H11:H96,"=5091",'Přehled smluv a faktur'!K11:K96)</f>
        <v>0</v>
      </c>
      <c r="D35" s="199">
        <f>SUMIF('Přehled smluv a faktur'!H11:H96,"=5091",'Přehled smluv a faktur'!M11:M96)</f>
        <v>0</v>
      </c>
      <c r="E35" s="204" t="s">
        <v>231</v>
      </c>
      <c r="F35" s="201" t="s">
        <v>162</v>
      </c>
      <c r="G35" s="203">
        <f>SUM(G30:G34)</f>
        <v>0</v>
      </c>
      <c r="H35" s="203">
        <f>SUM(H30:H34)</f>
        <v>0</v>
      </c>
    </row>
    <row r="36" spans="1:8" ht="12">
      <c r="A36" s="269">
        <v>5093</v>
      </c>
      <c r="B36" s="195" t="s">
        <v>122</v>
      </c>
      <c r="C36" s="199">
        <f>SUMIF('Přehled smluv a faktur'!H11:H96,"=5093",'Přehled smluv a faktur'!K11:K96)</f>
        <v>0</v>
      </c>
      <c r="D36" s="199">
        <f>SUMIF('Přehled smluv a faktur'!H11:H96,"=5093",'Přehled smluv a faktur'!M11:M96)</f>
        <v>0</v>
      </c>
      <c r="E36" s="269">
        <v>6150</v>
      </c>
      <c r="F36" s="195" t="s">
        <v>163</v>
      </c>
      <c r="G36" s="199">
        <f>SUMIF('Přehled smluv a faktur'!I11:I96,"=6150",'Přehled smluv a faktur'!K11:K96)</f>
        <v>0</v>
      </c>
      <c r="H36" s="199">
        <f>SUMIF('Přehled smluv a faktur'!I11:I96,"=6150",'Přehled smluv a faktur'!M11:M96)</f>
        <v>0</v>
      </c>
    </row>
    <row r="37" spans="1:8" ht="12">
      <c r="A37" s="269">
        <v>5095</v>
      </c>
      <c r="B37" s="195" t="s">
        <v>126</v>
      </c>
      <c r="C37" s="199">
        <f>SUMIF('Přehled smluv a faktur'!H11:H96,"=5095",'Přehled smluv a faktur'!K11:K96)</f>
        <v>0</v>
      </c>
      <c r="D37" s="199">
        <f>SUMIF('Přehled smluv a faktur'!H11:H96,"=5095",'Přehled smluv a faktur'!M11:M96)</f>
        <v>0</v>
      </c>
      <c r="E37" s="269">
        <v>6151</v>
      </c>
      <c r="F37" s="195" t="s">
        <v>165</v>
      </c>
      <c r="G37" s="199">
        <f>SUMIF('Přehled smluv a faktur'!I11:I96,"=6151",'Přehled smluv a faktur'!K11:K96)</f>
        <v>0</v>
      </c>
      <c r="H37" s="199">
        <f>SUMIF('Přehled smluv a faktur'!I11:I96,"=6151",'Přehled smluv a faktur'!M11:M96)</f>
        <v>0</v>
      </c>
    </row>
    <row r="38" spans="1:8" ht="12">
      <c r="A38" s="269">
        <v>5099</v>
      </c>
      <c r="B38" s="195" t="s">
        <v>132</v>
      </c>
      <c r="C38" s="199">
        <f>SUMIF('Přehled smluv a faktur'!H11:H96,"=5099",'Přehled smluv a faktur'!K11:K96)</f>
        <v>0</v>
      </c>
      <c r="D38" s="199">
        <f>SUMIF('Přehled smluv a faktur'!H11:H96,"=5099",'Přehled smluv a faktur'!M11:M96)</f>
        <v>0</v>
      </c>
      <c r="E38" s="269">
        <v>6152</v>
      </c>
      <c r="F38" s="195" t="s">
        <v>166</v>
      </c>
      <c r="G38" s="199">
        <f>SUMIF('Přehled smluv a faktur'!I11:I96,"=6152",'Přehled smluv a faktur'!K11:K96)</f>
        <v>0</v>
      </c>
      <c r="H38" s="199">
        <f>SUMIF('Přehled smluv a faktur'!I11:I96,"=6152",'Přehled smluv a faktur'!M11:M96)</f>
        <v>0</v>
      </c>
    </row>
    <row r="39" spans="1:8" ht="12">
      <c r="A39" s="200" t="s">
        <v>217</v>
      </c>
      <c r="B39" s="201" t="s">
        <v>164</v>
      </c>
      <c r="C39" s="202">
        <f>SUM(C34:C38)</f>
        <v>0</v>
      </c>
      <c r="D39" s="202">
        <f>SUM(D34:D38)</f>
        <v>0</v>
      </c>
      <c r="E39" s="269">
        <v>6153</v>
      </c>
      <c r="F39" s="195" t="s">
        <v>130</v>
      </c>
      <c r="G39" s="199">
        <f>SUMIF('Přehled smluv a faktur'!I11:I96,"=6153",'Přehled smluv a faktur'!K11:K96)</f>
        <v>0</v>
      </c>
      <c r="H39" s="199">
        <f>SUMIF('Přehled smluv a faktur'!I11:I96,"=6153",'Přehled smluv a faktur'!M11:M96)</f>
        <v>0</v>
      </c>
    </row>
    <row r="40" spans="1:8" ht="12">
      <c r="A40" s="269">
        <v>5110</v>
      </c>
      <c r="B40" s="195" t="s">
        <v>136</v>
      </c>
      <c r="C40" s="199">
        <f>SUMIF('Přehled smluv a faktur'!H11:H96,"=5110",'Přehled smluv a faktur'!K11:K96)</f>
        <v>0</v>
      </c>
      <c r="D40" s="199">
        <f>SUMIF('Přehled smluv a faktur'!H11:H96,"=5110",'Přehled smluv a faktur'!M11:M96)</f>
        <v>0</v>
      </c>
      <c r="E40" s="269">
        <v>6154</v>
      </c>
      <c r="F40" s="195" t="s">
        <v>167</v>
      </c>
      <c r="G40" s="199">
        <f>SUMIF('Přehled smluv a faktur'!I11:I96,"=6154",'Přehled smluv a faktur'!K11:K96)</f>
        <v>0</v>
      </c>
      <c r="H40" s="199">
        <f>SUMIF('Přehled smluv a faktur'!I11:I96,"=6154",'Přehled smluv a faktur'!M11:M96)</f>
        <v>0</v>
      </c>
    </row>
    <row r="41" spans="1:8" ht="12">
      <c r="A41" s="269">
        <v>5111</v>
      </c>
      <c r="B41" s="195" t="s">
        <v>138</v>
      </c>
      <c r="C41" s="199">
        <f>SUMIF('Přehled smluv a faktur'!H11:H96,"=5111",'Přehled smluv a faktur'!K11:K96)</f>
        <v>0</v>
      </c>
      <c r="D41" s="199">
        <f>SUMIF('Přehled smluv a faktur'!H11:H96,"=5111",'Přehled smluv a faktur'!M11:M96)</f>
        <v>0</v>
      </c>
      <c r="E41" s="269">
        <v>6155</v>
      </c>
      <c r="F41" s="195" t="s">
        <v>168</v>
      </c>
      <c r="G41" s="199">
        <f>SUMIF('Přehled smluv a faktur'!I11:I96,"=6155",'Přehled smluv a faktur'!K11:K96)</f>
        <v>0</v>
      </c>
      <c r="H41" s="199">
        <f>SUMIF('Přehled smluv a faktur'!I11:I96,"=6155",'Přehled smluv a faktur'!M11:M96)</f>
        <v>0</v>
      </c>
    </row>
    <row r="42" spans="1:8" ht="12">
      <c r="A42" s="269">
        <v>5112</v>
      </c>
      <c r="B42" s="195" t="s">
        <v>140</v>
      </c>
      <c r="C42" s="199">
        <f>SUMIF('Přehled smluv a faktur'!H11:H96,"=5112",'Přehled smluv a faktur'!K11:K96)</f>
        <v>0</v>
      </c>
      <c r="D42" s="199">
        <f>SUMIF('Přehled smluv a faktur'!H11:H96,"=5112",'Přehled smluv a faktur'!M11:M96)</f>
        <v>0</v>
      </c>
      <c r="E42" s="269">
        <v>6156</v>
      </c>
      <c r="F42" s="195" t="s">
        <v>169</v>
      </c>
      <c r="G42" s="199">
        <f>SUMIF('Přehled smluv a faktur'!I11:I96,"=6156",'Přehled smluv a faktur'!K11:K96)</f>
        <v>0</v>
      </c>
      <c r="H42" s="199">
        <f>SUMIF('Přehled smluv a faktur'!I11:I96,"=6156",'Přehled smluv a faktur'!M11:M96)</f>
        <v>0</v>
      </c>
    </row>
    <row r="43" spans="1:8" ht="12">
      <c r="A43" s="269">
        <v>5113</v>
      </c>
      <c r="B43" s="195" t="s">
        <v>142</v>
      </c>
      <c r="C43" s="199">
        <f>SUMIF('Přehled smluv a faktur'!H11:H96,"=5113",'Přehled smluv a faktur'!K11:K96)</f>
        <v>0</v>
      </c>
      <c r="D43" s="199">
        <f>SUMIF('Přehled smluv a faktur'!H11:H96,"=5113",'Přehled smluv a faktur'!M11:M96)</f>
        <v>0</v>
      </c>
      <c r="E43" s="269">
        <v>6157</v>
      </c>
      <c r="F43" s="195" t="s">
        <v>170</v>
      </c>
      <c r="G43" s="199">
        <f>SUMIF('Přehled smluv a faktur'!I11:I96,"=6157",'Přehled smluv a faktur'!K11:K96)</f>
        <v>0</v>
      </c>
      <c r="H43" s="199">
        <f>SUMIF('Přehled smluv a faktur'!I11:I96,"=6157",'Přehled smluv a faktur'!M11:M96)</f>
        <v>0</v>
      </c>
    </row>
    <row r="44" spans="1:8" ht="12">
      <c r="A44" s="269">
        <v>5114</v>
      </c>
      <c r="B44" s="195" t="s">
        <v>144</v>
      </c>
      <c r="C44" s="199">
        <f>SUMIF('Přehled smluv a faktur'!H11:H96,"=5114",'Přehled smluv a faktur'!K11:K96)</f>
        <v>0</v>
      </c>
      <c r="D44" s="199">
        <f>SUMIF('Přehled smluv a faktur'!H11:H96,"=5114",'Přehled smluv a faktur'!M11:M96)</f>
        <v>0</v>
      </c>
      <c r="E44" s="269">
        <v>6159</v>
      </c>
      <c r="F44" s="195" t="s">
        <v>171</v>
      </c>
      <c r="G44" s="199">
        <f>SUMIF('Přehled smluv a faktur'!I11:I96,"=6159",'Přehled smluv a faktur'!K11:K96)</f>
        <v>0</v>
      </c>
      <c r="H44" s="199">
        <f>SUMIF('Přehled smluv a faktur'!I11:I96,"=6159",'Přehled smluv a faktur'!M11:M96)</f>
        <v>0</v>
      </c>
    </row>
    <row r="45" spans="1:8" ht="12">
      <c r="A45" s="269">
        <v>5115</v>
      </c>
      <c r="B45" s="195" t="s">
        <v>218</v>
      </c>
      <c r="C45" s="199">
        <f>SUMIF('Přehled smluv a faktur'!H11:H96,"=5115",'Přehled smluv a faktur'!K11:K96)</f>
        <v>0</v>
      </c>
      <c r="D45" s="199">
        <f>SUMIF('Přehled smluv a faktur'!H11:H96,"=5115",'Přehled smluv a faktur'!M11:M96)</f>
        <v>0</v>
      </c>
      <c r="E45" s="201" t="s">
        <v>232</v>
      </c>
      <c r="F45" s="201" t="s">
        <v>223</v>
      </c>
      <c r="G45" s="203">
        <f>SUM(G36:G44)</f>
        <v>0</v>
      </c>
      <c r="H45" s="203">
        <f>SUM(H36:H44)</f>
        <v>0</v>
      </c>
    </row>
    <row r="46" spans="1:8" ht="12">
      <c r="A46" s="269">
        <v>5116</v>
      </c>
      <c r="B46" s="195" t="s">
        <v>147</v>
      </c>
      <c r="C46" s="199">
        <f>SUMIF('Přehled smluv a faktur'!H11:H96,"=5116",'Přehled smluv a faktur'!K11:K96)</f>
        <v>0</v>
      </c>
      <c r="D46" s="199">
        <f>SUMIF('Přehled smluv a faktur'!H11:H96,"=5116",'Přehled smluv a faktur'!M11:M96)</f>
        <v>0</v>
      </c>
      <c r="E46" s="269">
        <v>6170</v>
      </c>
      <c r="F46" s="195" t="s">
        <v>172</v>
      </c>
      <c r="G46" s="199">
        <f>SUMIF('Přehled smluv a faktur'!I11:I96,"=6170",'Přehled smluv a faktur'!K11:K96)</f>
        <v>0</v>
      </c>
      <c r="H46" s="199">
        <f>SUMIF('Přehled smluv a faktur'!I11:I96,"=6170",'Přehled smluv a faktur'!M11:M96)</f>
        <v>0</v>
      </c>
    </row>
    <row r="47" spans="1:8" ht="12">
      <c r="A47" s="269">
        <v>5117</v>
      </c>
      <c r="B47" s="195" t="s">
        <v>149</v>
      </c>
      <c r="C47" s="199">
        <f>SUMIF('Přehled smluv a faktur'!H11:H96,"=5117",'Přehled smluv a faktur'!K11:K96)</f>
        <v>0</v>
      </c>
      <c r="D47" s="199">
        <f>SUMIF('Přehled smluv a faktur'!H11:H96,"=5117",'Přehled smluv a faktur'!M11:M96)</f>
        <v>0</v>
      </c>
      <c r="E47" s="269">
        <v>6171</v>
      </c>
      <c r="F47" s="195" t="s">
        <v>173</v>
      </c>
      <c r="G47" s="199">
        <f>SUMIF('Přehled smluv a faktur'!I11:I96,"=6171",'Přehled smluv a faktur'!K11:K96)</f>
        <v>0</v>
      </c>
      <c r="H47" s="199">
        <f>SUMIF('Přehled smluv a faktur'!I11:I96,"=6171",'Přehled smluv a faktur'!M11:M96)</f>
        <v>0</v>
      </c>
    </row>
    <row r="48" spans="1:8" ht="12">
      <c r="A48" s="269">
        <v>5119</v>
      </c>
      <c r="B48" s="195" t="s">
        <v>151</v>
      </c>
      <c r="C48" s="199">
        <f>SUMIF('Přehled smluv a faktur'!H11:H96,"=5119",'Přehled smluv a faktur'!K11:K96)</f>
        <v>0</v>
      </c>
      <c r="D48" s="199">
        <f>SUMIF('Přehled smluv a faktur'!H11:H96,"=5119",'Přehled smluv a faktur'!M11:M96)</f>
        <v>0</v>
      </c>
      <c r="E48" s="269">
        <v>6172</v>
      </c>
      <c r="F48" s="195" t="s">
        <v>174</v>
      </c>
      <c r="G48" s="199">
        <f>SUMIF('Přehled smluv a faktur'!I11:I96,"=6172",'Přehled smluv a faktur'!K11:K96)</f>
        <v>0</v>
      </c>
      <c r="H48" s="199">
        <f>SUMIF('Přehled smluv a faktur'!I11:I96,"=6172",'Přehled smluv a faktur'!M11:M96)</f>
        <v>0</v>
      </c>
    </row>
    <row r="49" spans="1:8" ht="12">
      <c r="A49" s="200" t="s">
        <v>219</v>
      </c>
      <c r="B49" s="201" t="s">
        <v>153</v>
      </c>
      <c r="C49" s="202">
        <f>SUM(C40:C48)</f>
        <v>0</v>
      </c>
      <c r="D49" s="202">
        <f>SUM(D40:D48)</f>
        <v>0</v>
      </c>
      <c r="E49" s="269">
        <v>6179</v>
      </c>
      <c r="F49" s="195" t="s">
        <v>175</v>
      </c>
      <c r="G49" s="199">
        <f>SUMIF('Přehled smluv a faktur'!I11:I96,"=6179",'Přehled smluv a faktur'!K11:K96)</f>
        <v>0</v>
      </c>
      <c r="H49" s="199">
        <f>SUMIF('Přehled smluv a faktur'!I11:I96,"=6179",'Přehled smluv a faktur'!M11:M96)</f>
        <v>0</v>
      </c>
    </row>
    <row r="50" spans="1:8" ht="12">
      <c r="A50" s="269">
        <v>5130</v>
      </c>
      <c r="B50" s="195" t="s">
        <v>155</v>
      </c>
      <c r="C50" s="199">
        <f>SUMIF('Přehled smluv a faktur'!H11:H96,"=5130",'Přehled smluv a faktur'!K11:K96)</f>
        <v>0</v>
      </c>
      <c r="D50" s="199">
        <f>SUMIF('Přehled smluv a faktur'!H11:H96,"=5130",'Přehled smluv a faktur'!M11:M96)</f>
        <v>0</v>
      </c>
      <c r="E50" s="201" t="s">
        <v>233</v>
      </c>
      <c r="F50" s="201" t="s">
        <v>176</v>
      </c>
      <c r="G50" s="203">
        <f>SUM(G46:G49)</f>
        <v>0</v>
      </c>
      <c r="H50" s="203">
        <f>SUM(H46:H49)</f>
        <v>0</v>
      </c>
    </row>
    <row r="51" spans="1:8" ht="12">
      <c r="A51" s="269">
        <v>5131</v>
      </c>
      <c r="B51" s="195" t="s">
        <v>157</v>
      </c>
      <c r="C51" s="199">
        <f>SUMIF('Přehled smluv a faktur'!H11:H96,"=5131",'Přehled smluv a faktur'!K11:K96)</f>
        <v>0</v>
      </c>
      <c r="D51" s="199">
        <f>SUMIF('Přehled smluv a faktur'!H11:H96,"=5131",'Přehled smluv a faktur'!M11:M96)</f>
        <v>0</v>
      </c>
      <c r="E51" s="201" t="s">
        <v>234</v>
      </c>
      <c r="F51" s="196" t="s">
        <v>178</v>
      </c>
      <c r="G51" s="203">
        <f>G50+G45+G35+G29+G19+G9</f>
        <v>0</v>
      </c>
      <c r="H51" s="203">
        <f>H50+H45+H35+H29+H19+H9</f>
        <v>0</v>
      </c>
    </row>
    <row r="52" spans="1:4" ht="12">
      <c r="A52" s="269">
        <v>5132</v>
      </c>
      <c r="B52" s="195" t="s">
        <v>159</v>
      </c>
      <c r="C52" s="199">
        <f>SUMIF('Přehled smluv a faktur'!H11:H96,"=5132",'Přehled smluv a faktur'!K11:K96)</f>
        <v>0</v>
      </c>
      <c r="D52" s="199">
        <f>SUMIF('Přehled smluv a faktur'!H11:H96,"=5132",'Přehled smluv a faktur'!M11:M96)</f>
        <v>0</v>
      </c>
    </row>
    <row r="53" spans="1:8" ht="12">
      <c r="A53" s="269">
        <v>5133</v>
      </c>
      <c r="B53" s="195" t="s">
        <v>220</v>
      </c>
      <c r="C53" s="199">
        <f>SUMIF('Přehled smluv a faktur'!H11:H96,"=5133",'Přehled smluv a faktur'!K11:K96)</f>
        <v>0</v>
      </c>
      <c r="D53" s="199">
        <f>SUMIF('Přehled smluv a faktur'!H11:H96,"=5133",'Přehled smluv a faktur'!M11:M96)</f>
        <v>0</v>
      </c>
      <c r="E53" s="198"/>
      <c r="F53" s="195"/>
      <c r="G53" s="199"/>
      <c r="H53" s="199"/>
    </row>
    <row r="54" spans="1:8" ht="12">
      <c r="A54" s="269">
        <v>5139</v>
      </c>
      <c r="B54" s="195" t="s">
        <v>161</v>
      </c>
      <c r="C54" s="199">
        <f>SUMIF('Přehled smluv a faktur'!H11:H96,"=5139",'Přehled smluv a faktur'!K11:K96)</f>
        <v>0</v>
      </c>
      <c r="D54" s="199">
        <f>SUMIF('Přehled smluv a faktur'!H11:H96,"=5139",'Přehled smluv a faktur'!M11:M96)</f>
        <v>0</v>
      </c>
      <c r="F54" s="207" t="s">
        <v>106</v>
      </c>
      <c r="G54" s="208">
        <f>C67</f>
        <v>0</v>
      </c>
      <c r="H54" s="209">
        <f>D67</f>
        <v>0</v>
      </c>
    </row>
    <row r="55" spans="1:8" ht="12">
      <c r="A55" s="200" t="s">
        <v>221</v>
      </c>
      <c r="B55" s="201" t="s">
        <v>177</v>
      </c>
      <c r="C55" s="202">
        <f>SUM(C50:C54)</f>
        <v>0</v>
      </c>
      <c r="D55" s="202">
        <f>SUM(D50:D54)</f>
        <v>0</v>
      </c>
      <c r="F55" s="210" t="s">
        <v>109</v>
      </c>
      <c r="G55" s="203">
        <f>G51</f>
        <v>0</v>
      </c>
      <c r="H55" s="211">
        <f>H51</f>
        <v>0</v>
      </c>
    </row>
    <row r="56" spans="1:8" ht="12">
      <c r="A56" s="269">
        <v>5154</v>
      </c>
      <c r="B56" s="195" t="s">
        <v>167</v>
      </c>
      <c r="C56" s="199">
        <f>SUMIF('Přehled smluv a faktur'!H11:H96,"=5154",'Přehled smluv a faktur'!K11:K96)</f>
        <v>0</v>
      </c>
      <c r="D56" s="199">
        <f>SUMIF('Přehled smluv a faktur'!H11:H96,"=5154",'Přehled smluv a faktur'!M11:M96)</f>
        <v>0</v>
      </c>
      <c r="E56" s="195"/>
      <c r="F56" s="212" t="s">
        <v>179</v>
      </c>
      <c r="G56" s="213">
        <f>SUM(G54:G55)</f>
        <v>0</v>
      </c>
      <c r="H56" s="214">
        <f>SUM(H54:H55)</f>
        <v>0</v>
      </c>
    </row>
    <row r="57" spans="1:8" ht="12">
      <c r="A57" s="269">
        <v>5155</v>
      </c>
      <c r="B57" s="195" t="s">
        <v>168</v>
      </c>
      <c r="C57" s="199">
        <f>SUMIF('Přehled smluv a faktur'!H11:H96,"=5155",'Přehled smluv a faktur'!K11:K96)</f>
        <v>0</v>
      </c>
      <c r="D57" s="199">
        <f>SUMIF('Přehled smluv a faktur'!H11:H96,"=5155",'Přehled smluv a faktur'!M11:M96)</f>
        <v>0</v>
      </c>
      <c r="E57" s="195"/>
      <c r="F57" s="205"/>
      <c r="G57" s="205"/>
      <c r="H57" s="205"/>
    </row>
    <row r="58" spans="1:8" ht="12">
      <c r="A58" s="269">
        <v>5156</v>
      </c>
      <c r="B58" s="195" t="s">
        <v>169</v>
      </c>
      <c r="C58" s="199">
        <f>SUMIF('Přehled smluv a faktur'!H11:H96,"=5156",'Přehled smluv a faktur'!K11:K96)</f>
        <v>0</v>
      </c>
      <c r="D58" s="199">
        <f>SUMIF('Přehled smluv a faktur'!H11:H96,"=5156",'Přehled smluv a faktur'!M11:M96)</f>
        <v>0</v>
      </c>
      <c r="E58" s="206"/>
      <c r="F58" s="274"/>
      <c r="G58" s="275"/>
      <c r="H58" s="275"/>
    </row>
    <row r="59" spans="1:8" ht="12">
      <c r="A59" s="269">
        <v>5157</v>
      </c>
      <c r="B59" s="195" t="s">
        <v>170</v>
      </c>
      <c r="C59" s="199">
        <f>SUMIF('Přehled smluv a faktur'!H11:H96,"=5157",'Přehled smluv a faktur'!K11:K96)</f>
        <v>0</v>
      </c>
      <c r="D59" s="199">
        <f>SUMIF('Přehled smluv a faktur'!H11:H96,"=5157",'Přehled smluv a faktur'!M11:M96)</f>
        <v>0</v>
      </c>
      <c r="E59" s="206"/>
      <c r="F59" s="274"/>
      <c r="G59" s="275"/>
      <c r="H59" s="275"/>
    </row>
    <row r="60" spans="1:8" ht="12">
      <c r="A60" s="269">
        <v>5159</v>
      </c>
      <c r="B60" s="195" t="s">
        <v>171</v>
      </c>
      <c r="C60" s="199">
        <f>SUMIF('Přehled smluv a faktur'!H11:H96,"=5159",'Přehled smluv a faktur'!K11:K96)</f>
        <v>0</v>
      </c>
      <c r="D60" s="199">
        <f>SUMIF('Přehled smluv a faktur'!H11:H96,"=5159",'Přehled smluv a faktur'!M11:M96)</f>
        <v>0</v>
      </c>
      <c r="E60" s="206"/>
      <c r="F60" s="274"/>
      <c r="G60" s="275"/>
      <c r="H60" s="275"/>
    </row>
    <row r="61" spans="1:8" ht="12">
      <c r="A61" s="200" t="s">
        <v>222</v>
      </c>
      <c r="B61" s="201" t="s">
        <v>223</v>
      </c>
      <c r="C61" s="202">
        <f>SUM(C56:C60)</f>
        <v>0</v>
      </c>
      <c r="D61" s="202">
        <f>SUM(D56:D60)</f>
        <v>0</v>
      </c>
      <c r="E61" s="206"/>
      <c r="F61" s="274"/>
      <c r="G61" s="275"/>
      <c r="H61" s="275"/>
    </row>
    <row r="62" spans="1:8" ht="12">
      <c r="A62" s="269">
        <v>5170</v>
      </c>
      <c r="B62" s="195" t="s">
        <v>172</v>
      </c>
      <c r="C62" s="199">
        <f>SUMIF('Přehled smluv a faktur'!H11:H96,"=5170",'Přehled smluv a faktur'!K11:K96)</f>
        <v>0</v>
      </c>
      <c r="D62" s="199">
        <f>SUMIF('Přehled smluv a faktur'!H11:H96,"=5170",'Přehled smluv a faktur'!M11:M96)</f>
        <v>0</v>
      </c>
      <c r="E62" s="206"/>
      <c r="F62" s="274"/>
      <c r="G62" s="275"/>
      <c r="H62" s="275"/>
    </row>
    <row r="63" spans="1:8" ht="12">
      <c r="A63" s="269">
        <v>5171</v>
      </c>
      <c r="B63" s="195" t="s">
        <v>173</v>
      </c>
      <c r="C63" s="199">
        <f>SUMIF('Přehled smluv a faktur'!H11:H96,"=5171",'Přehled smluv a faktur'!K11:K96)</f>
        <v>0</v>
      </c>
      <c r="D63" s="199">
        <f>SUMIF('Přehled smluv a faktur'!H11:H96,"=5171",'Přehled smluv a faktur'!M11:M96)</f>
        <v>0</v>
      </c>
      <c r="E63" s="206"/>
      <c r="F63" s="274"/>
      <c r="G63" s="275"/>
      <c r="H63" s="275"/>
    </row>
    <row r="64" spans="1:8" ht="12">
      <c r="A64" s="269">
        <v>5172</v>
      </c>
      <c r="B64" s="195" t="s">
        <v>174</v>
      </c>
      <c r="C64" s="199">
        <f>SUMIF('Přehled smluv a faktur'!H11:H96,"=5172",'Přehled smluv a faktur'!K11:K96)</f>
        <v>0</v>
      </c>
      <c r="D64" s="199">
        <f>SUMIF('Přehled smluv a faktur'!H11:H96,"=5172",'Přehled smluv a faktur'!M11:M96)</f>
        <v>0</v>
      </c>
      <c r="E64" s="206"/>
      <c r="F64" s="274"/>
      <c r="G64" s="275"/>
      <c r="H64" s="275"/>
    </row>
    <row r="65" spans="1:8" ht="12">
      <c r="A65" s="269">
        <v>5179</v>
      </c>
      <c r="B65" s="195" t="s">
        <v>175</v>
      </c>
      <c r="C65" s="199">
        <f>SUMIF('Přehled smluv a faktur'!H11:H96,"=5179",'Přehled smluv a faktur'!K11:K96)</f>
        <v>0</v>
      </c>
      <c r="D65" s="199">
        <f>SUMIF('Přehled smluv a faktur'!H11:H96,"=5179",'Přehled smluv a faktur'!M11:M96)</f>
        <v>0</v>
      </c>
      <c r="E65" s="206"/>
      <c r="F65" s="274"/>
      <c r="G65" s="275"/>
      <c r="H65" s="275"/>
    </row>
    <row r="66" spans="1:8" ht="12">
      <c r="A66" s="200" t="s">
        <v>224</v>
      </c>
      <c r="B66" s="201" t="s">
        <v>176</v>
      </c>
      <c r="C66" s="202">
        <f>SUM(C62:C65)</f>
        <v>0</v>
      </c>
      <c r="D66" s="202">
        <f>SUM(D62:D65)</f>
        <v>0</v>
      </c>
      <c r="E66" s="206"/>
      <c r="F66" s="274"/>
      <c r="G66" s="275"/>
      <c r="H66" s="275"/>
    </row>
    <row r="67" spans="1:8" ht="12">
      <c r="A67" s="200" t="s">
        <v>225</v>
      </c>
      <c r="B67" s="196" t="s">
        <v>178</v>
      </c>
      <c r="C67" s="202">
        <f>C66+C61+C55+C49+C39+C33+C23+C13+C8</f>
        <v>0</v>
      </c>
      <c r="D67" s="202">
        <f>D66+D61+D55+D49+D39+D33+D23+D13+D8</f>
        <v>0</v>
      </c>
      <c r="E67" s="206"/>
      <c r="F67" s="274"/>
      <c r="G67" s="275"/>
      <c r="H67" s="275"/>
    </row>
    <row r="68" spans="5:6" ht="12">
      <c r="E68" s="215"/>
      <c r="F68" s="215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34.140625" style="181" customWidth="1"/>
    <col min="2" max="2" width="19.7109375" style="265" customWidth="1"/>
    <col min="3" max="3" width="18.57421875" style="181" customWidth="1"/>
    <col min="4" max="4" width="15.7109375" style="181" customWidth="1"/>
    <col min="5" max="5" width="13.28125" style="188" customWidth="1"/>
    <col min="6" max="6" width="12.8515625" style="181" customWidth="1"/>
    <col min="7" max="7" width="11.140625" style="181" customWidth="1"/>
    <col min="8" max="16384" width="9.140625" style="181" customWidth="1"/>
  </cols>
  <sheetData>
    <row r="1" spans="1:6" ht="11.25" customHeight="1">
      <c r="A1" s="594" t="s">
        <v>183</v>
      </c>
      <c r="B1" s="594"/>
      <c r="C1" s="594"/>
      <c r="D1" s="266"/>
      <c r="E1" s="218"/>
      <c r="F1" s="219"/>
    </row>
    <row r="2" spans="2:4" ht="11.25" customHeight="1">
      <c r="B2" s="220"/>
      <c r="C2" s="189"/>
      <c r="D2" s="189"/>
    </row>
    <row r="3" spans="1:4" ht="11.25" customHeight="1">
      <c r="A3" s="221" t="s">
        <v>294</v>
      </c>
      <c r="B3" s="220"/>
      <c r="C3" s="189"/>
      <c r="D3" s="189"/>
    </row>
    <row r="4" spans="1:4" ht="11.25" customHeight="1">
      <c r="A4" s="222" t="s">
        <v>184</v>
      </c>
      <c r="B4" s="354" t="s">
        <v>185</v>
      </c>
      <c r="C4" s="595" t="s">
        <v>298</v>
      </c>
      <c r="D4" s="596"/>
    </row>
    <row r="5" spans="1:4" ht="11.25" customHeight="1">
      <c r="A5" s="223"/>
      <c r="B5" s="224"/>
      <c r="C5" s="597"/>
      <c r="D5" s="597"/>
    </row>
    <row r="6" spans="1:4" ht="11.25" customHeight="1">
      <c r="A6" s="225"/>
      <c r="B6" s="226"/>
      <c r="C6" s="592"/>
      <c r="D6" s="592"/>
    </row>
    <row r="7" spans="1:4" ht="11.25" customHeight="1">
      <c r="A7" s="227"/>
      <c r="B7" s="228"/>
      <c r="C7" s="592"/>
      <c r="D7" s="592"/>
    </row>
    <row r="8" spans="1:4" ht="11.25" customHeight="1">
      <c r="A8" s="229"/>
      <c r="B8" s="230"/>
      <c r="C8" s="593"/>
      <c r="D8" s="593"/>
    </row>
    <row r="9" ht="11.25" customHeight="1">
      <c r="B9" s="231"/>
    </row>
    <row r="10" spans="1:2" ht="11.25" customHeight="1">
      <c r="A10" s="232" t="s">
        <v>186</v>
      </c>
      <c r="B10" s="231"/>
    </row>
    <row r="11" spans="1:6" ht="18.75" customHeight="1">
      <c r="A11" s="240" t="s">
        <v>187</v>
      </c>
      <c r="B11" s="233" t="s">
        <v>257</v>
      </c>
      <c r="C11" s="342" t="s">
        <v>299</v>
      </c>
      <c r="D11" s="344" t="s">
        <v>188</v>
      </c>
      <c r="E11" s="345"/>
      <c r="F11" s="346"/>
    </row>
    <row r="12" spans="1:6" ht="11.25" customHeight="1">
      <c r="A12" s="349" t="s">
        <v>189</v>
      </c>
      <c r="B12" s="234"/>
      <c r="C12" s="328"/>
      <c r="D12" s="329"/>
      <c r="E12" s="347"/>
      <c r="F12" s="348"/>
    </row>
    <row r="13" spans="1:6" ht="11.25" customHeight="1">
      <c r="A13" s="235" t="s">
        <v>190</v>
      </c>
      <c r="B13" s="236"/>
      <c r="C13" s="236"/>
      <c r="D13" s="251"/>
      <c r="E13" s="347"/>
      <c r="F13" s="348"/>
    </row>
    <row r="14" spans="1:5" ht="11.25" customHeight="1">
      <c r="A14" s="189"/>
      <c r="B14" s="237"/>
      <c r="C14" s="238"/>
      <c r="D14" s="238"/>
      <c r="E14" s="238"/>
    </row>
    <row r="15" spans="1:5" ht="11.25" customHeight="1" hidden="1">
      <c r="A15" s="239" t="s">
        <v>191</v>
      </c>
      <c r="B15" s="237"/>
      <c r="C15" s="238"/>
      <c r="D15" s="238"/>
      <c r="E15" s="238"/>
    </row>
    <row r="16" spans="1:5" ht="11.25" customHeight="1" hidden="1">
      <c r="A16" s="189"/>
      <c r="B16" s="237"/>
      <c r="C16" s="238"/>
      <c r="D16" s="238"/>
      <c r="E16" s="238"/>
    </row>
    <row r="17" spans="1:6" ht="11.25" customHeight="1" hidden="1">
      <c r="A17" s="577" t="s">
        <v>192</v>
      </c>
      <c r="B17" s="588" t="s">
        <v>193</v>
      </c>
      <c r="C17" s="581" t="s">
        <v>194</v>
      </c>
      <c r="D17" s="585" t="s">
        <v>195</v>
      </c>
      <c r="E17" s="585"/>
      <c r="F17" s="585" t="s">
        <v>188</v>
      </c>
    </row>
    <row r="18" spans="1:6" ht="11.25" customHeight="1" hidden="1">
      <c r="A18" s="578"/>
      <c r="B18" s="580"/>
      <c r="C18" s="582"/>
      <c r="D18" s="240" t="s">
        <v>196</v>
      </c>
      <c r="E18" s="241" t="s">
        <v>197</v>
      </c>
      <c r="F18" s="585"/>
    </row>
    <row r="19" spans="1:6" ht="11.25" customHeight="1" hidden="1">
      <c r="A19" s="242"/>
      <c r="B19" s="243"/>
      <c r="C19" s="243"/>
      <c r="D19" s="243"/>
      <c r="E19" s="243"/>
      <c r="F19" s="244"/>
    </row>
    <row r="20" spans="1:6" ht="11.25" customHeight="1" hidden="1">
      <c r="A20" s="245"/>
      <c r="B20" s="234"/>
      <c r="C20" s="246"/>
      <c r="D20" s="246"/>
      <c r="E20" s="234"/>
      <c r="F20" s="247"/>
    </row>
    <row r="21" spans="1:6" ht="11.25" customHeight="1" hidden="1">
      <c r="A21" s="248"/>
      <c r="B21" s="249"/>
      <c r="C21" s="250"/>
      <c r="D21" s="250"/>
      <c r="E21" s="249"/>
      <c r="F21" s="251"/>
    </row>
    <row r="22" spans="1:5" ht="11.25" customHeight="1">
      <c r="A22" s="221" t="s">
        <v>191</v>
      </c>
      <c r="B22" s="237"/>
      <c r="C22" s="238"/>
      <c r="D22" s="238"/>
      <c r="E22" s="238"/>
    </row>
    <row r="23" spans="1:7" ht="11.25" customHeight="1">
      <c r="A23" s="577" t="s">
        <v>192</v>
      </c>
      <c r="B23" s="586" t="s">
        <v>193</v>
      </c>
      <c r="C23" s="588" t="s">
        <v>258</v>
      </c>
      <c r="D23" s="585" t="s">
        <v>259</v>
      </c>
      <c r="E23" s="589" t="s">
        <v>300</v>
      </c>
      <c r="F23" s="591"/>
      <c r="G23" s="576"/>
    </row>
    <row r="24" spans="1:7" ht="11.25" customHeight="1">
      <c r="A24" s="578"/>
      <c r="B24" s="578"/>
      <c r="C24" s="580"/>
      <c r="D24" s="585"/>
      <c r="E24" s="590"/>
      <c r="F24" s="591"/>
      <c r="G24" s="576"/>
    </row>
    <row r="25" spans="1:7" ht="11.25" customHeight="1">
      <c r="A25" s="242"/>
      <c r="B25" s="243"/>
      <c r="C25" s="243"/>
      <c r="D25" s="244"/>
      <c r="E25" s="329"/>
      <c r="F25" s="352"/>
      <c r="G25" s="189"/>
    </row>
    <row r="26" spans="1:7" ht="11.25" customHeight="1">
      <c r="A26" s="245"/>
      <c r="B26" s="246"/>
      <c r="C26" s="234"/>
      <c r="D26" s="252"/>
      <c r="E26" s="247"/>
      <c r="F26" s="352"/>
      <c r="G26" s="189"/>
    </row>
    <row r="27" spans="1:7" ht="11.25" customHeight="1">
      <c r="A27" s="245"/>
      <c r="B27" s="246"/>
      <c r="C27" s="234"/>
      <c r="D27" s="252"/>
      <c r="E27" s="247"/>
      <c r="F27" s="352"/>
      <c r="G27" s="189"/>
    </row>
    <row r="28" spans="1:7" ht="11.25" customHeight="1">
      <c r="A28" s="235"/>
      <c r="B28" s="253"/>
      <c r="C28" s="236"/>
      <c r="D28" s="254"/>
      <c r="E28" s="264"/>
      <c r="F28" s="352"/>
      <c r="G28" s="189"/>
    </row>
    <row r="29" spans="1:6" ht="11.25" customHeight="1">
      <c r="A29" s="255"/>
      <c r="B29" s="256"/>
      <c r="C29" s="257"/>
      <c r="D29" s="257"/>
      <c r="E29" s="256"/>
      <c r="F29" s="351"/>
    </row>
    <row r="30" spans="1:6" ht="11.25" customHeight="1">
      <c r="A30" s="350" t="s">
        <v>198</v>
      </c>
      <c r="B30" s="258"/>
      <c r="C30" s="259"/>
      <c r="D30" s="259"/>
      <c r="E30" s="258"/>
      <c r="F30" s="260"/>
    </row>
    <row r="31" spans="1:7" ht="11.25" customHeight="1">
      <c r="A31" s="577" t="s">
        <v>199</v>
      </c>
      <c r="B31" s="579" t="s">
        <v>193</v>
      </c>
      <c r="C31" s="581" t="s">
        <v>260</v>
      </c>
      <c r="D31" s="577" t="s">
        <v>261</v>
      </c>
      <c r="E31" s="583" t="s">
        <v>262</v>
      </c>
      <c r="F31" s="585" t="s">
        <v>263</v>
      </c>
      <c r="G31" s="586" t="s">
        <v>188</v>
      </c>
    </row>
    <row r="32" spans="1:7" ht="13.5" customHeight="1">
      <c r="A32" s="578"/>
      <c r="B32" s="580"/>
      <c r="C32" s="582"/>
      <c r="D32" s="578"/>
      <c r="E32" s="584"/>
      <c r="F32" s="585"/>
      <c r="G32" s="587"/>
    </row>
    <row r="33" spans="1:7" ht="11.25" customHeight="1">
      <c r="A33" s="242"/>
      <c r="B33" s="243"/>
      <c r="C33" s="243"/>
      <c r="D33" s="243"/>
      <c r="E33" s="243"/>
      <c r="F33" s="244"/>
      <c r="G33" s="353"/>
    </row>
    <row r="34" spans="1:7" ht="11.25" customHeight="1">
      <c r="A34" s="245"/>
      <c r="B34" s="234"/>
      <c r="C34" s="246"/>
      <c r="D34" s="246"/>
      <c r="E34" s="234"/>
      <c r="F34" s="252"/>
      <c r="G34" s="247"/>
    </row>
    <row r="35" spans="1:7" ht="11.25" customHeight="1">
      <c r="A35" s="245"/>
      <c r="B35" s="234"/>
      <c r="C35" s="246"/>
      <c r="D35" s="246"/>
      <c r="E35" s="234"/>
      <c r="F35" s="252"/>
      <c r="G35" s="247"/>
    </row>
    <row r="36" spans="1:7" ht="11.25" customHeight="1">
      <c r="A36" s="245"/>
      <c r="B36" s="234"/>
      <c r="C36" s="246"/>
      <c r="D36" s="246"/>
      <c r="E36" s="234"/>
      <c r="F36" s="252"/>
      <c r="G36" s="247"/>
    </row>
    <row r="37" spans="1:7" ht="11.25" customHeight="1">
      <c r="A37" s="245"/>
      <c r="B37" s="234"/>
      <c r="C37" s="246"/>
      <c r="D37" s="246"/>
      <c r="E37" s="234"/>
      <c r="F37" s="252"/>
      <c r="G37" s="247"/>
    </row>
    <row r="38" spans="1:7" ht="11.25" customHeight="1">
      <c r="A38" s="245"/>
      <c r="B38" s="234"/>
      <c r="C38" s="246"/>
      <c r="D38" s="246"/>
      <c r="E38" s="234"/>
      <c r="F38" s="252"/>
      <c r="G38" s="247"/>
    </row>
    <row r="39" spans="1:7" ht="11.25" customHeight="1">
      <c r="A39" s="245"/>
      <c r="B39" s="234"/>
      <c r="C39" s="246"/>
      <c r="D39" s="246"/>
      <c r="E39" s="234"/>
      <c r="F39" s="252"/>
      <c r="G39" s="247"/>
    </row>
    <row r="40" spans="1:7" ht="11.25" customHeight="1">
      <c r="A40" s="248"/>
      <c r="B40" s="249"/>
      <c r="C40" s="250"/>
      <c r="D40" s="250"/>
      <c r="E40" s="249"/>
      <c r="F40" s="261"/>
      <c r="G40" s="264"/>
    </row>
    <row r="41" spans="1:5" ht="12.75" customHeight="1">
      <c r="A41" s="189"/>
      <c r="B41" s="237"/>
      <c r="C41" s="238"/>
      <c r="D41" s="238"/>
      <c r="E41" s="238"/>
    </row>
    <row r="42" spans="1:5" ht="12.75" customHeight="1">
      <c r="A42" s="221" t="s">
        <v>200</v>
      </c>
      <c r="B42" s="237"/>
      <c r="C42" s="238"/>
      <c r="D42" s="238"/>
      <c r="E42" s="238"/>
    </row>
    <row r="43" spans="1:6" ht="18.75" customHeight="1">
      <c r="A43" s="568" t="s">
        <v>201</v>
      </c>
      <c r="B43" s="569"/>
      <c r="C43" s="330" t="s">
        <v>202</v>
      </c>
      <c r="D43" s="568" t="s">
        <v>203</v>
      </c>
      <c r="E43" s="570"/>
      <c r="F43" s="571"/>
    </row>
    <row r="44" spans="1:6" ht="11.25" customHeight="1">
      <c r="A44" s="572"/>
      <c r="B44" s="573"/>
      <c r="C44" s="262"/>
      <c r="D44" s="574"/>
      <c r="E44" s="575"/>
      <c r="F44" s="573"/>
    </row>
    <row r="45" spans="1:6" ht="11.25" customHeight="1">
      <c r="A45" s="564"/>
      <c r="B45" s="565"/>
      <c r="C45" s="263"/>
      <c r="D45" s="566"/>
      <c r="E45" s="567"/>
      <c r="F45" s="565"/>
    </row>
    <row r="46" spans="1:6" ht="11.25" customHeight="1">
      <c r="A46" s="564"/>
      <c r="B46" s="565"/>
      <c r="C46" s="263"/>
      <c r="D46" s="566"/>
      <c r="E46" s="567"/>
      <c r="F46" s="565"/>
    </row>
    <row r="47" spans="1:6" ht="11.25" customHeight="1">
      <c r="A47" s="545"/>
      <c r="B47" s="546"/>
      <c r="C47" s="264"/>
      <c r="D47" s="547"/>
      <c r="E47" s="548"/>
      <c r="F47" s="546"/>
    </row>
    <row r="49" spans="1:10" ht="9.75">
      <c r="A49" s="549" t="s">
        <v>205</v>
      </c>
      <c r="B49" s="549" t="s">
        <v>101</v>
      </c>
      <c r="C49" s="552" t="s">
        <v>102</v>
      </c>
      <c r="D49" s="553"/>
      <c r="E49" s="549" t="s">
        <v>103</v>
      </c>
      <c r="F49" s="560"/>
      <c r="G49" s="561"/>
      <c r="H49" s="553"/>
      <c r="I49" s="331"/>
      <c r="J49" s="267"/>
    </row>
    <row r="50" spans="1:10" ht="9.75">
      <c r="A50" s="550"/>
      <c r="B50" s="550"/>
      <c r="C50" s="554"/>
      <c r="D50" s="555"/>
      <c r="E50" s="558"/>
      <c r="F50" s="554"/>
      <c r="G50" s="562"/>
      <c r="H50" s="555"/>
      <c r="I50" s="267"/>
      <c r="J50" s="267"/>
    </row>
    <row r="51" spans="1:10" ht="9.75">
      <c r="A51" s="551"/>
      <c r="B51" s="551"/>
      <c r="C51" s="556"/>
      <c r="D51" s="557"/>
      <c r="E51" s="559"/>
      <c r="F51" s="556"/>
      <c r="G51" s="563"/>
      <c r="H51" s="557"/>
      <c r="I51" s="267"/>
      <c r="J51" s="267"/>
    </row>
  </sheetData>
  <sheetProtection/>
  <protectedRanges>
    <protectedRange sqref="C49:D49" name="Oblast3"/>
  </protectedRanges>
  <mergeCells count="40">
    <mergeCell ref="A1:C1"/>
    <mergeCell ref="C4:D4"/>
    <mergeCell ref="C5:D5"/>
    <mergeCell ref="C6:D6"/>
    <mergeCell ref="C7:D7"/>
    <mergeCell ref="C8:D8"/>
    <mergeCell ref="A17:A18"/>
    <mergeCell ref="B17:B18"/>
    <mergeCell ref="C17:C18"/>
    <mergeCell ref="D17:E17"/>
    <mergeCell ref="F17:F18"/>
    <mergeCell ref="A23:A24"/>
    <mergeCell ref="B23:B24"/>
    <mergeCell ref="C23:C24"/>
    <mergeCell ref="D23:D24"/>
    <mergeCell ref="E23:E24"/>
    <mergeCell ref="F23:F24"/>
    <mergeCell ref="G23:G24"/>
    <mergeCell ref="A31:A32"/>
    <mergeCell ref="B31:B32"/>
    <mergeCell ref="C31:C32"/>
    <mergeCell ref="D31:D32"/>
    <mergeCell ref="E31:E32"/>
    <mergeCell ref="F31:F32"/>
    <mergeCell ref="G31:G32"/>
    <mergeCell ref="A45:B45"/>
    <mergeCell ref="D45:F45"/>
    <mergeCell ref="A46:B46"/>
    <mergeCell ref="D46:F46"/>
    <mergeCell ref="A43:B43"/>
    <mergeCell ref="D43:F43"/>
    <mergeCell ref="A44:B44"/>
    <mergeCell ref="D44:F44"/>
    <mergeCell ref="A47:B47"/>
    <mergeCell ref="D47:F47"/>
    <mergeCell ref="A49:A51"/>
    <mergeCell ref="B49:B51"/>
    <mergeCell ref="C49:D51"/>
    <mergeCell ref="E49:E51"/>
    <mergeCell ref="F49:H5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69">
        <v>5010</v>
      </c>
      <c r="B1" s="269">
        <v>6010</v>
      </c>
      <c r="C1" t="s">
        <v>180</v>
      </c>
    </row>
    <row r="2" spans="1:3" ht="12.75">
      <c r="A2" s="269">
        <v>5011</v>
      </c>
      <c r="B2" s="269">
        <v>6011</v>
      </c>
      <c r="C2" t="s">
        <v>181</v>
      </c>
    </row>
    <row r="3" spans="1:2" ht="12.75">
      <c r="A3" s="269">
        <v>5012</v>
      </c>
      <c r="B3" s="269">
        <v>6012</v>
      </c>
    </row>
    <row r="4" spans="1:2" ht="12.75">
      <c r="A4" s="269">
        <v>5014</v>
      </c>
      <c r="B4" s="269">
        <v>6013</v>
      </c>
    </row>
    <row r="5" spans="1:2" ht="12.75">
      <c r="A5" s="269">
        <v>5019</v>
      </c>
      <c r="B5" s="269">
        <v>6014</v>
      </c>
    </row>
    <row r="6" spans="1:2" ht="12.75">
      <c r="A6" s="269">
        <v>5030</v>
      </c>
      <c r="B6" s="269">
        <v>6019</v>
      </c>
    </row>
    <row r="7" spans="1:2" ht="12.75">
      <c r="A7" s="269">
        <v>5031</v>
      </c>
      <c r="B7" s="269">
        <v>6090</v>
      </c>
    </row>
    <row r="8" spans="1:2" ht="12.75">
      <c r="A8" s="269">
        <v>5032</v>
      </c>
      <c r="B8" s="269">
        <v>6091</v>
      </c>
    </row>
    <row r="9" spans="1:2" ht="12.75">
      <c r="A9" s="269">
        <v>5039</v>
      </c>
      <c r="B9" s="269">
        <v>6092</v>
      </c>
    </row>
    <row r="10" spans="1:2" ht="12.75">
      <c r="A10" s="269">
        <v>5050</v>
      </c>
      <c r="B10" s="269">
        <v>6093</v>
      </c>
    </row>
    <row r="11" spans="1:2" ht="12.75">
      <c r="A11" s="269">
        <v>5051</v>
      </c>
      <c r="B11" s="269">
        <v>6094</v>
      </c>
    </row>
    <row r="12" spans="1:2" ht="12.75">
      <c r="A12" s="269">
        <v>5052</v>
      </c>
      <c r="B12" s="269">
        <v>6095</v>
      </c>
    </row>
    <row r="13" spans="1:2" ht="12.75">
      <c r="A13" s="269">
        <v>5053</v>
      </c>
      <c r="B13" s="269">
        <v>6096</v>
      </c>
    </row>
    <row r="14" spans="1:2" ht="12.75">
      <c r="A14" s="269">
        <v>5054</v>
      </c>
      <c r="B14" s="269">
        <v>6097</v>
      </c>
    </row>
    <row r="15" spans="1:2" ht="12.75">
      <c r="A15" s="269">
        <v>5055</v>
      </c>
      <c r="B15" s="269">
        <v>6099</v>
      </c>
    </row>
    <row r="16" spans="1:2" ht="12.75">
      <c r="A16" s="269">
        <v>5056</v>
      </c>
      <c r="B16" s="269">
        <v>6110</v>
      </c>
    </row>
    <row r="17" spans="1:2" ht="12.75">
      <c r="A17" s="269">
        <v>5057</v>
      </c>
      <c r="B17" s="269">
        <v>6111</v>
      </c>
    </row>
    <row r="18" spans="1:2" ht="12.75">
      <c r="A18" s="269">
        <v>5058</v>
      </c>
      <c r="B18" s="269">
        <v>6112</v>
      </c>
    </row>
    <row r="19" spans="1:2" ht="12.75">
      <c r="A19" s="269">
        <v>5070</v>
      </c>
      <c r="B19" s="269">
        <v>6113</v>
      </c>
    </row>
    <row r="20" spans="1:2" ht="12.75">
      <c r="A20" s="269">
        <v>5071</v>
      </c>
      <c r="B20" s="269">
        <v>6114</v>
      </c>
    </row>
    <row r="21" spans="1:2" ht="12.75">
      <c r="A21" s="269">
        <v>5072</v>
      </c>
      <c r="B21" s="269">
        <v>6115</v>
      </c>
    </row>
    <row r="22" spans="1:2" ht="12.75">
      <c r="A22" s="269">
        <v>5073</v>
      </c>
      <c r="B22" s="269">
        <v>6116</v>
      </c>
    </row>
    <row r="23" spans="1:2" ht="12.75">
      <c r="A23" s="269">
        <v>5074</v>
      </c>
      <c r="B23" s="269">
        <v>6117</v>
      </c>
    </row>
    <row r="24" spans="1:2" ht="12.75">
      <c r="A24" s="269">
        <v>5075</v>
      </c>
      <c r="B24" s="269">
        <v>6119</v>
      </c>
    </row>
    <row r="25" spans="1:2" ht="12.75">
      <c r="A25" s="269">
        <v>5076</v>
      </c>
      <c r="B25" s="269">
        <v>6130</v>
      </c>
    </row>
    <row r="26" spans="1:2" ht="12.75">
      <c r="A26" s="269">
        <v>5077</v>
      </c>
      <c r="B26" s="269">
        <v>6131</v>
      </c>
    </row>
    <row r="27" spans="1:2" ht="12.75">
      <c r="A27" s="269">
        <v>5078</v>
      </c>
      <c r="B27" s="269">
        <v>6132</v>
      </c>
    </row>
    <row r="28" spans="1:2" ht="12.75">
      <c r="A28" s="269">
        <v>5090</v>
      </c>
      <c r="B28" s="269">
        <v>6133</v>
      </c>
    </row>
    <row r="29" spans="1:2" ht="12.75">
      <c r="A29" s="269">
        <v>5091</v>
      </c>
      <c r="B29" s="269">
        <v>6139</v>
      </c>
    </row>
    <row r="30" spans="1:2" ht="12.75">
      <c r="A30" s="269">
        <v>5093</v>
      </c>
      <c r="B30" s="269">
        <v>6150</v>
      </c>
    </row>
    <row r="31" spans="1:2" ht="12.75">
      <c r="A31" s="269">
        <v>5095</v>
      </c>
      <c r="B31" s="269">
        <v>6151</v>
      </c>
    </row>
    <row r="32" spans="1:2" ht="12.75">
      <c r="A32" s="269">
        <v>5099</v>
      </c>
      <c r="B32" s="269">
        <v>6152</v>
      </c>
    </row>
    <row r="33" spans="1:2" ht="12.75">
      <c r="A33" s="269">
        <v>5110</v>
      </c>
      <c r="B33" s="269">
        <v>6153</v>
      </c>
    </row>
    <row r="34" spans="1:2" ht="12.75">
      <c r="A34" s="269">
        <v>5111</v>
      </c>
      <c r="B34" s="269">
        <v>6154</v>
      </c>
    </row>
    <row r="35" spans="1:2" ht="12.75">
      <c r="A35" s="269">
        <v>5112</v>
      </c>
      <c r="B35" s="269">
        <v>6155</v>
      </c>
    </row>
    <row r="36" spans="1:2" ht="12.75">
      <c r="A36" s="269">
        <v>5113</v>
      </c>
      <c r="B36" s="269">
        <v>6156</v>
      </c>
    </row>
    <row r="37" spans="1:2" ht="12.75">
      <c r="A37" s="269">
        <v>5114</v>
      </c>
      <c r="B37" s="269">
        <v>6157</v>
      </c>
    </row>
    <row r="38" spans="1:2" ht="12.75">
      <c r="A38" s="269">
        <v>5115</v>
      </c>
      <c r="B38" s="269">
        <v>6159</v>
      </c>
    </row>
    <row r="39" spans="1:2" ht="12.75">
      <c r="A39" s="269">
        <v>5116</v>
      </c>
      <c r="B39" s="269">
        <v>6170</v>
      </c>
    </row>
    <row r="40" spans="1:2" ht="12.75">
      <c r="A40" s="269">
        <v>5117</v>
      </c>
      <c r="B40" s="269">
        <v>6171</v>
      </c>
    </row>
    <row r="41" spans="1:2" ht="12.75">
      <c r="A41" s="269">
        <v>5119</v>
      </c>
      <c r="B41" s="269">
        <v>6172</v>
      </c>
    </row>
    <row r="42" spans="1:2" ht="12.75">
      <c r="A42" s="269">
        <v>5130</v>
      </c>
      <c r="B42" s="269">
        <v>6179</v>
      </c>
    </row>
    <row r="43" ht="12.75">
      <c r="A43" s="269">
        <v>5131</v>
      </c>
    </row>
    <row r="44" ht="12.75">
      <c r="A44" s="269">
        <v>5132</v>
      </c>
    </row>
    <row r="45" ht="12.75">
      <c r="A45" s="269">
        <v>5133</v>
      </c>
    </row>
    <row r="46" ht="12.75">
      <c r="A46" s="269">
        <v>5139</v>
      </c>
    </row>
    <row r="47" ht="12.75">
      <c r="A47" s="269">
        <v>5154</v>
      </c>
    </row>
    <row r="48" ht="12.75">
      <c r="A48" s="269">
        <v>5155</v>
      </c>
    </row>
    <row r="49" ht="12.75">
      <c r="A49" s="269">
        <v>5156</v>
      </c>
    </row>
    <row r="50" ht="12.75">
      <c r="A50" s="269">
        <v>5157</v>
      </c>
    </row>
    <row r="51" ht="12.75">
      <c r="A51" s="269">
        <v>5159</v>
      </c>
    </row>
    <row r="52" spans="1:2" ht="12.75">
      <c r="A52" s="277">
        <v>5170</v>
      </c>
      <c r="B52" s="201"/>
    </row>
    <row r="53" ht="12.75">
      <c r="A53" s="277">
        <v>5171</v>
      </c>
    </row>
    <row r="54" ht="12.75">
      <c r="A54" s="277">
        <v>5172</v>
      </c>
    </row>
    <row r="55" ht="12.75">
      <c r="A55" s="277">
        <v>5179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">
      <selection activeCell="G23" sqref="G23"/>
    </sheetView>
  </sheetViews>
  <sheetFormatPr defaultColWidth="9.140625" defaultRowHeight="12.75"/>
  <cols>
    <col min="5" max="5" width="7.57421875" style="0" customWidth="1"/>
    <col min="10" max="10" width="12.7109375" style="0" customWidth="1"/>
  </cols>
  <sheetData>
    <row r="1" spans="1:7" ht="18">
      <c r="A1" s="606" t="s">
        <v>288</v>
      </c>
      <c r="B1" s="606"/>
      <c r="C1" s="606"/>
      <c r="D1" s="606"/>
      <c r="E1" s="606"/>
      <c r="F1" s="606"/>
      <c r="G1" s="606"/>
    </row>
    <row r="2" spans="1:6" ht="18">
      <c r="A2" s="332"/>
      <c r="B2" s="332"/>
      <c r="C2" s="332"/>
      <c r="D2" s="332"/>
      <c r="E2" s="332"/>
      <c r="F2" s="332"/>
    </row>
    <row r="4" ht="12.75">
      <c r="A4" t="s">
        <v>264</v>
      </c>
    </row>
    <row r="5" spans="1:11" ht="15.75">
      <c r="A5" s="333" t="s">
        <v>269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ht="12.75">
      <c r="A6" s="334" t="s">
        <v>265</v>
      </c>
    </row>
    <row r="7" spans="1:5" ht="15">
      <c r="A7" s="337" t="s">
        <v>266</v>
      </c>
      <c r="B7" s="335"/>
      <c r="C7" s="335"/>
      <c r="D7" s="335"/>
      <c r="E7" s="335"/>
    </row>
    <row r="8" ht="12.75">
      <c r="A8" s="336" t="s">
        <v>270</v>
      </c>
    </row>
    <row r="9" ht="12.75">
      <c r="B9" s="336" t="s">
        <v>289</v>
      </c>
    </row>
    <row r="10" ht="12.75">
      <c r="B10" s="336" t="s">
        <v>295</v>
      </c>
    </row>
    <row r="11" ht="12.75">
      <c r="B11" s="336" t="s">
        <v>297</v>
      </c>
    </row>
    <row r="12" ht="12.75">
      <c r="B12" s="336" t="s">
        <v>296</v>
      </c>
    </row>
    <row r="13" ht="12.75">
      <c r="B13" s="336" t="s">
        <v>290</v>
      </c>
    </row>
    <row r="14" ht="12.75">
      <c r="B14" s="336" t="s">
        <v>271</v>
      </c>
    </row>
    <row r="15" spans="2:21" ht="15">
      <c r="B15" s="608" t="s">
        <v>77</v>
      </c>
      <c r="C15" s="608"/>
      <c r="D15" s="608"/>
      <c r="E15" s="608"/>
      <c r="F15" s="607"/>
      <c r="G15" s="607"/>
      <c r="H15" s="608" t="s">
        <v>30</v>
      </c>
      <c r="I15" s="608"/>
      <c r="J15" s="608"/>
      <c r="K15" s="605"/>
      <c r="L15" s="605"/>
      <c r="N15" s="338"/>
      <c r="O15" s="338"/>
      <c r="P15" s="338"/>
      <c r="Q15" s="338"/>
      <c r="R15" s="338"/>
      <c r="S15" s="338"/>
      <c r="T15" s="338"/>
      <c r="U15" s="338"/>
    </row>
    <row r="16" spans="2:21" ht="12.75">
      <c r="B16" s="608" t="s">
        <v>28</v>
      </c>
      <c r="C16" s="608"/>
      <c r="D16" s="608"/>
      <c r="E16" s="608"/>
      <c r="F16" s="607"/>
      <c r="G16" s="607"/>
      <c r="H16" s="608" t="s">
        <v>31</v>
      </c>
      <c r="I16" s="608"/>
      <c r="J16" s="608"/>
      <c r="K16" s="605"/>
      <c r="L16" s="605"/>
      <c r="N16" s="339"/>
      <c r="O16" s="339"/>
      <c r="P16" s="339"/>
      <c r="Q16" s="339"/>
      <c r="R16" s="339"/>
      <c r="S16" s="339"/>
      <c r="T16" s="339"/>
      <c r="U16" s="339"/>
    </row>
    <row r="17" spans="2:21" ht="15">
      <c r="B17" s="608" t="s">
        <v>29</v>
      </c>
      <c r="C17" s="608"/>
      <c r="D17" s="608"/>
      <c r="E17" s="608"/>
      <c r="F17" s="607"/>
      <c r="G17" s="607"/>
      <c r="H17" s="608" t="s">
        <v>32</v>
      </c>
      <c r="I17" s="608"/>
      <c r="J17" s="608"/>
      <c r="K17" s="605"/>
      <c r="L17" s="605"/>
      <c r="N17" s="338"/>
      <c r="O17" s="338"/>
      <c r="P17" s="338"/>
      <c r="Q17" s="338"/>
      <c r="R17" s="338"/>
      <c r="S17" s="338"/>
      <c r="T17" s="338"/>
      <c r="U17" s="338"/>
    </row>
    <row r="19" spans="1:5" ht="15">
      <c r="A19" s="337" t="s">
        <v>267</v>
      </c>
      <c r="B19" s="335"/>
      <c r="C19" s="335"/>
      <c r="D19" s="335"/>
      <c r="E19" s="335"/>
    </row>
    <row r="20" ht="12.75">
      <c r="A20" s="336" t="s">
        <v>278</v>
      </c>
    </row>
    <row r="21" ht="12.75">
      <c r="B21" s="336" t="s">
        <v>272</v>
      </c>
    </row>
    <row r="22" ht="12.75">
      <c r="B22" s="336" t="s">
        <v>273</v>
      </c>
    </row>
    <row r="23" ht="12.75">
      <c r="B23" s="336" t="s">
        <v>291</v>
      </c>
    </row>
    <row r="24" ht="12.75">
      <c r="B24" s="336" t="s">
        <v>274</v>
      </c>
    </row>
    <row r="25" ht="12.75" customHeight="1">
      <c r="B25" s="336" t="s">
        <v>0</v>
      </c>
    </row>
    <row r="26" ht="12.75" customHeight="1">
      <c r="B26" s="336" t="s">
        <v>275</v>
      </c>
    </row>
    <row r="27" ht="12.75" customHeight="1">
      <c r="B27" s="336" t="s">
        <v>292</v>
      </c>
    </row>
    <row r="28" ht="12.75" customHeight="1">
      <c r="B28" s="336" t="s">
        <v>276</v>
      </c>
    </row>
    <row r="29" ht="12.75" customHeight="1">
      <c r="B29" s="336" t="s">
        <v>277</v>
      </c>
    </row>
    <row r="30" ht="12.75" customHeight="1">
      <c r="B30" s="336" t="s">
        <v>279</v>
      </c>
    </row>
    <row r="31" ht="12.75" customHeight="1">
      <c r="B31" s="336" t="s">
        <v>280</v>
      </c>
    </row>
    <row r="32" ht="12.75" customHeight="1">
      <c r="B32" s="336" t="s">
        <v>281</v>
      </c>
    </row>
    <row r="33" ht="12.75">
      <c r="B33" s="336" t="s">
        <v>282</v>
      </c>
    </row>
    <row r="34" ht="12.75">
      <c r="B34" s="336" t="s">
        <v>283</v>
      </c>
    </row>
    <row r="35" ht="12.75">
      <c r="B35" s="336" t="s">
        <v>284</v>
      </c>
    </row>
    <row r="36" ht="12.75">
      <c r="B36" s="336" t="s">
        <v>285</v>
      </c>
    </row>
    <row r="37" spans="2:20" ht="29.25" customHeight="1">
      <c r="B37" s="537" t="s">
        <v>239</v>
      </c>
      <c r="C37" s="538" t="s">
        <v>253</v>
      </c>
      <c r="D37" s="538" t="s">
        <v>256</v>
      </c>
      <c r="E37" s="279" t="s">
        <v>204</v>
      </c>
      <c r="F37" s="179"/>
      <c r="G37" s="278"/>
      <c r="H37" s="609" t="s">
        <v>84</v>
      </c>
      <c r="I37" s="180" t="s">
        <v>85</v>
      </c>
      <c r="J37" s="180" t="s">
        <v>85</v>
      </c>
      <c r="K37" s="542" t="s">
        <v>86</v>
      </c>
      <c r="L37" s="535" t="s">
        <v>87</v>
      </c>
      <c r="M37" s="535" t="s">
        <v>88</v>
      </c>
      <c r="N37" s="535" t="s">
        <v>89</v>
      </c>
      <c r="O37" s="535" t="s">
        <v>18</v>
      </c>
      <c r="P37" s="601" t="s">
        <v>235</v>
      </c>
      <c r="Q37" s="598" t="s">
        <v>90</v>
      </c>
      <c r="R37" s="599"/>
      <c r="S37" s="599"/>
      <c r="T37" s="600"/>
    </row>
    <row r="38" spans="2:20" ht="12.75">
      <c r="B38" s="537"/>
      <c r="C38" s="539"/>
      <c r="D38" s="539"/>
      <c r="E38" s="280" t="s">
        <v>91</v>
      </c>
      <c r="F38" s="180" t="s">
        <v>92</v>
      </c>
      <c r="G38" s="180" t="s">
        <v>93</v>
      </c>
      <c r="H38" s="539"/>
      <c r="I38" s="182" t="s">
        <v>94</v>
      </c>
      <c r="J38" s="182" t="s">
        <v>95</v>
      </c>
      <c r="K38" s="536"/>
      <c r="L38" s="536"/>
      <c r="M38" s="536"/>
      <c r="N38" s="536"/>
      <c r="O38" s="536"/>
      <c r="P38" s="536"/>
      <c r="Q38" s="182" t="s">
        <v>4</v>
      </c>
      <c r="R38" s="182" t="s">
        <v>3</v>
      </c>
      <c r="S38" s="180" t="s">
        <v>96</v>
      </c>
      <c r="T38" s="217" t="s">
        <v>182</v>
      </c>
    </row>
    <row r="39" ht="12.75">
      <c r="B39" s="336"/>
    </row>
    <row r="40" spans="1:4" ht="15">
      <c r="A40" s="337" t="s">
        <v>268</v>
      </c>
      <c r="B40" s="337"/>
      <c r="C40" s="337"/>
      <c r="D40" s="337"/>
    </row>
    <row r="41" ht="12.75">
      <c r="A41" s="336" t="s">
        <v>278</v>
      </c>
    </row>
    <row r="42" ht="12.75">
      <c r="B42" s="336" t="s">
        <v>286</v>
      </c>
    </row>
    <row r="43" ht="12.75">
      <c r="B43" s="336" t="s">
        <v>287</v>
      </c>
    </row>
    <row r="44" ht="12.75">
      <c r="B44" s="336" t="s">
        <v>293</v>
      </c>
    </row>
    <row r="45" spans="2:16" ht="12.75" customHeight="1">
      <c r="B45" s="610" t="s">
        <v>100</v>
      </c>
      <c r="C45" s="610" t="s">
        <v>101</v>
      </c>
      <c r="D45" s="602" t="s">
        <v>102</v>
      </c>
      <c r="E45" s="610" t="s">
        <v>103</v>
      </c>
      <c r="F45" s="610"/>
      <c r="G45" s="604"/>
      <c r="H45" s="603" t="s">
        <v>104</v>
      </c>
      <c r="I45" s="605"/>
      <c r="J45" s="341"/>
      <c r="K45" s="340"/>
      <c r="L45" s="340"/>
      <c r="M45" s="340"/>
      <c r="N45" s="23"/>
      <c r="O45" s="340"/>
      <c r="P45" s="23"/>
    </row>
    <row r="46" spans="2:16" ht="12.75">
      <c r="B46" s="610"/>
      <c r="C46" s="610"/>
      <c r="D46" s="602"/>
      <c r="E46" s="610"/>
      <c r="F46" s="610"/>
      <c r="G46" s="604"/>
      <c r="H46" s="603"/>
      <c r="I46" s="605"/>
      <c r="J46" s="340"/>
      <c r="K46" s="340"/>
      <c r="L46" s="340"/>
      <c r="M46" s="340"/>
      <c r="N46" s="23"/>
      <c r="O46" s="340"/>
      <c r="P46" s="23"/>
    </row>
    <row r="47" spans="2:16" ht="12.75">
      <c r="B47" s="610"/>
      <c r="C47" s="610"/>
      <c r="D47" s="602"/>
      <c r="E47" s="610"/>
      <c r="F47" s="610"/>
      <c r="G47" s="604"/>
      <c r="H47" s="603"/>
      <c r="I47" s="605"/>
      <c r="J47" s="340"/>
      <c r="K47" s="340"/>
      <c r="L47" s="340"/>
      <c r="M47" s="340"/>
      <c r="N47" s="23"/>
      <c r="O47" s="340"/>
      <c r="P47" s="23"/>
    </row>
  </sheetData>
  <sheetProtection/>
  <protectedRanges>
    <protectedRange sqref="D45" name="Oblast3_4"/>
  </protectedRanges>
  <mergeCells count="31">
    <mergeCell ref="B37:B38"/>
    <mergeCell ref="C37:C38"/>
    <mergeCell ref="D37:D38"/>
    <mergeCell ref="H37:H38"/>
    <mergeCell ref="B45:B47"/>
    <mergeCell ref="C45:C47"/>
    <mergeCell ref="E45:F47"/>
    <mergeCell ref="B16:E16"/>
    <mergeCell ref="H16:J16"/>
    <mergeCell ref="B17:E17"/>
    <mergeCell ref="H17:J17"/>
    <mergeCell ref="K15:L15"/>
    <mergeCell ref="H15:J15"/>
    <mergeCell ref="F17:G17"/>
    <mergeCell ref="B15:E15"/>
    <mergeCell ref="K37:K38"/>
    <mergeCell ref="D45:D47"/>
    <mergeCell ref="H45:H47"/>
    <mergeCell ref="G45:G47"/>
    <mergeCell ref="I45:I47"/>
    <mergeCell ref="A1:G1"/>
    <mergeCell ref="K16:L16"/>
    <mergeCell ref="K17:L17"/>
    <mergeCell ref="F15:G15"/>
    <mergeCell ref="F16:G16"/>
    <mergeCell ref="Q37:T37"/>
    <mergeCell ref="P37:P38"/>
    <mergeCell ref="L37:L38"/>
    <mergeCell ref="M37:M38"/>
    <mergeCell ref="N37:N38"/>
    <mergeCell ref="O37:O38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Klicnarová Tereza, DiS. (MPSV)</cp:lastModifiedBy>
  <cp:lastPrinted>2011-10-20T05:35:18Z</cp:lastPrinted>
  <dcterms:created xsi:type="dcterms:W3CDTF">2005-10-27T08:47:25Z</dcterms:created>
  <dcterms:modified xsi:type="dcterms:W3CDTF">2012-11-20T08:41:42Z</dcterms:modified>
  <cp:category/>
  <cp:version/>
  <cp:contentType/>
  <cp:contentStatus/>
</cp:coreProperties>
</file>